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9660" windowHeight="5490"/>
  </bookViews>
  <sheets>
    <sheet name="Krycí list rozpočtu celkový" sheetId="7" r:id="rId1"/>
    <sheet name="SO 001" sheetId="4" r:id="rId2"/>
  </sheets>
  <definedNames>
    <definedName name="vorn_sum">#REF!</definedName>
  </definedNames>
  <calcPr calcId="125725"/>
</workbook>
</file>

<file path=xl/calcChain.xml><?xml version="1.0" encoding="utf-8"?>
<calcChain xmlns="http://schemas.openxmlformats.org/spreadsheetml/2006/main">
  <c r="A137" i="4"/>
  <c r="A115"/>
  <c r="A117"/>
  <c r="A119"/>
  <c r="A121"/>
  <c r="A123"/>
  <c r="A125"/>
  <c r="A127"/>
  <c r="A129"/>
  <c r="A131"/>
  <c r="A133"/>
  <c r="A135"/>
  <c r="A113"/>
  <c r="A111"/>
  <c r="L142"/>
  <c r="J142"/>
  <c r="I142" s="1"/>
  <c r="H142"/>
  <c r="AT137"/>
  <c r="AF137"/>
  <c r="AN137"/>
  <c r="AE137"/>
  <c r="AM137"/>
  <c r="AA137"/>
  <c r="Z137"/>
  <c r="X137"/>
  <c r="W137"/>
  <c r="V137"/>
  <c r="U137"/>
  <c r="T137"/>
  <c r="P137"/>
  <c r="L137"/>
  <c r="AV137"/>
  <c r="J137"/>
  <c r="AB137"/>
  <c r="AT135"/>
  <c r="AF135"/>
  <c r="AN135"/>
  <c r="AE135"/>
  <c r="AM135"/>
  <c r="AA135"/>
  <c r="Z135"/>
  <c r="X135"/>
  <c r="W135"/>
  <c r="V135"/>
  <c r="U135"/>
  <c r="T135"/>
  <c r="P135"/>
  <c r="L135"/>
  <c r="AV135"/>
  <c r="J135"/>
  <c r="AB135"/>
  <c r="AT133"/>
  <c r="AF133"/>
  <c r="AN133" s="1"/>
  <c r="AE133"/>
  <c r="AM133" s="1"/>
  <c r="AS133" s="1"/>
  <c r="AA133"/>
  <c r="Z133"/>
  <c r="X133"/>
  <c r="W133"/>
  <c r="V133"/>
  <c r="U133"/>
  <c r="T133"/>
  <c r="P133"/>
  <c r="L133"/>
  <c r="AV133"/>
  <c r="J133"/>
  <c r="AB133" s="1"/>
  <c r="AT131"/>
  <c r="AF131"/>
  <c r="AN131"/>
  <c r="AE131"/>
  <c r="H131"/>
  <c r="R131"/>
  <c r="AA131"/>
  <c r="Z131"/>
  <c r="X131"/>
  <c r="W131"/>
  <c r="V131"/>
  <c r="U131"/>
  <c r="T131"/>
  <c r="P131"/>
  <c r="L131"/>
  <c r="AV131"/>
  <c r="J131"/>
  <c r="AB131"/>
  <c r="AT129"/>
  <c r="AF129"/>
  <c r="AN129"/>
  <c r="AE129"/>
  <c r="AM129"/>
  <c r="AA129"/>
  <c r="Z129"/>
  <c r="X129"/>
  <c r="W129"/>
  <c r="V129"/>
  <c r="U129"/>
  <c r="T129"/>
  <c r="P129"/>
  <c r="L129"/>
  <c r="AV129"/>
  <c r="J129"/>
  <c r="AB129"/>
  <c r="H129"/>
  <c r="R129"/>
  <c r="AT127"/>
  <c r="AF127"/>
  <c r="AN127"/>
  <c r="AE127"/>
  <c r="H127"/>
  <c r="R127"/>
  <c r="AA127"/>
  <c r="Z127"/>
  <c r="X127"/>
  <c r="W127"/>
  <c r="V127"/>
  <c r="U127"/>
  <c r="T127"/>
  <c r="P127"/>
  <c r="L127"/>
  <c r="AV127"/>
  <c r="J127"/>
  <c r="AB127"/>
  <c r="AT125"/>
  <c r="AF125"/>
  <c r="AN125"/>
  <c r="AE125"/>
  <c r="AM125"/>
  <c r="AA125"/>
  <c r="Z125"/>
  <c r="X125"/>
  <c r="W125"/>
  <c r="V125"/>
  <c r="U125"/>
  <c r="T125"/>
  <c r="P125"/>
  <c r="L125"/>
  <c r="AV125"/>
  <c r="J125"/>
  <c r="AB125"/>
  <c r="AT123"/>
  <c r="AF123"/>
  <c r="AN123"/>
  <c r="AE123"/>
  <c r="H123"/>
  <c r="R123"/>
  <c r="AA123"/>
  <c r="Z123"/>
  <c r="X123"/>
  <c r="W123"/>
  <c r="V123"/>
  <c r="U123"/>
  <c r="T123"/>
  <c r="P123"/>
  <c r="L123"/>
  <c r="AV123"/>
  <c r="J123"/>
  <c r="AB123"/>
  <c r="AT121"/>
  <c r="AF121"/>
  <c r="AN121"/>
  <c r="AE121"/>
  <c r="AM121"/>
  <c r="AA121"/>
  <c r="Z121"/>
  <c r="X121"/>
  <c r="W121"/>
  <c r="V121"/>
  <c r="U121"/>
  <c r="T121"/>
  <c r="P121"/>
  <c r="L121"/>
  <c r="AV121"/>
  <c r="J121"/>
  <c r="AB121"/>
  <c r="AT119"/>
  <c r="AF119"/>
  <c r="AN119" s="1"/>
  <c r="AE119"/>
  <c r="AM119" s="1"/>
  <c r="AA119"/>
  <c r="Z119"/>
  <c r="X119"/>
  <c r="W119"/>
  <c r="V119"/>
  <c r="U119"/>
  <c r="T119"/>
  <c r="P119"/>
  <c r="L119"/>
  <c r="AV119"/>
  <c r="J119"/>
  <c r="AB119"/>
  <c r="AT117"/>
  <c r="AF117"/>
  <c r="AN117"/>
  <c r="AE117"/>
  <c r="AM117"/>
  <c r="AA117"/>
  <c r="Z117"/>
  <c r="X117"/>
  <c r="W117"/>
  <c r="V117"/>
  <c r="U117"/>
  <c r="T117"/>
  <c r="P117"/>
  <c r="L117"/>
  <c r="AV117"/>
  <c r="J117"/>
  <c r="AB117"/>
  <c r="AT115"/>
  <c r="AF115"/>
  <c r="AN115"/>
  <c r="AE115"/>
  <c r="AM115"/>
  <c r="AA115"/>
  <c r="Z115"/>
  <c r="X115"/>
  <c r="W115"/>
  <c r="V115"/>
  <c r="U115"/>
  <c r="T115"/>
  <c r="P115"/>
  <c r="L115"/>
  <c r="AV115"/>
  <c r="J115"/>
  <c r="AB115"/>
  <c r="AT113"/>
  <c r="AF113"/>
  <c r="AN113"/>
  <c r="AE113"/>
  <c r="H113"/>
  <c r="AA113"/>
  <c r="Z113"/>
  <c r="X113"/>
  <c r="W113"/>
  <c r="V113"/>
  <c r="U113"/>
  <c r="T113"/>
  <c r="P113"/>
  <c r="L113"/>
  <c r="AV113"/>
  <c r="J113"/>
  <c r="AB113"/>
  <c r="AT111"/>
  <c r="AF111"/>
  <c r="AN111"/>
  <c r="AE111"/>
  <c r="AM111"/>
  <c r="AS111" s="1"/>
  <c r="AA111"/>
  <c r="Z111"/>
  <c r="X111"/>
  <c r="W111"/>
  <c r="V111"/>
  <c r="U111"/>
  <c r="T111"/>
  <c r="P111"/>
  <c r="L111"/>
  <c r="AV111"/>
  <c r="J111"/>
  <c r="AB111" s="1"/>
  <c r="AT109"/>
  <c r="AF109"/>
  <c r="AN109"/>
  <c r="AE109"/>
  <c r="H109"/>
  <c r="AA109"/>
  <c r="Z109"/>
  <c r="X109"/>
  <c r="W109"/>
  <c r="V109"/>
  <c r="U109"/>
  <c r="T109"/>
  <c r="P109"/>
  <c r="L109"/>
  <c r="AV109"/>
  <c r="J109"/>
  <c r="AB109"/>
  <c r="AT107"/>
  <c r="AF107"/>
  <c r="AN107"/>
  <c r="AE107"/>
  <c r="AM107"/>
  <c r="AA107"/>
  <c r="Z107"/>
  <c r="X107"/>
  <c r="W107"/>
  <c r="V107"/>
  <c r="U107"/>
  <c r="T107"/>
  <c r="P107"/>
  <c r="L107"/>
  <c r="AV107"/>
  <c r="J107"/>
  <c r="AB107"/>
  <c r="AT105"/>
  <c r="AF105"/>
  <c r="AN105"/>
  <c r="AE105"/>
  <c r="H105"/>
  <c r="AA105"/>
  <c r="Z105"/>
  <c r="X105"/>
  <c r="W105"/>
  <c r="V105"/>
  <c r="U105"/>
  <c r="T105"/>
  <c r="P105"/>
  <c r="L105"/>
  <c r="AV105"/>
  <c r="J105"/>
  <c r="AB105"/>
  <c r="AT103"/>
  <c r="AF103"/>
  <c r="AN103"/>
  <c r="AE103"/>
  <c r="AM103"/>
  <c r="AA103"/>
  <c r="Z103"/>
  <c r="X103"/>
  <c r="W103"/>
  <c r="V103"/>
  <c r="U103"/>
  <c r="T103"/>
  <c r="P103"/>
  <c r="L103"/>
  <c r="AV103"/>
  <c r="J103"/>
  <c r="AB103"/>
  <c r="AT101"/>
  <c r="AF101"/>
  <c r="AN101"/>
  <c r="AE101"/>
  <c r="H101"/>
  <c r="AA101"/>
  <c r="Z101"/>
  <c r="X101"/>
  <c r="W101"/>
  <c r="V101"/>
  <c r="U101"/>
  <c r="T101"/>
  <c r="P101"/>
  <c r="L101"/>
  <c r="AV101"/>
  <c r="J101"/>
  <c r="AB101"/>
  <c r="AT99"/>
  <c r="AF99"/>
  <c r="AN99"/>
  <c r="AE99"/>
  <c r="AM99"/>
  <c r="AA99"/>
  <c r="Z99"/>
  <c r="X99"/>
  <c r="W99"/>
  <c r="V99"/>
  <c r="U99"/>
  <c r="T99"/>
  <c r="P99"/>
  <c r="L99"/>
  <c r="AV99"/>
  <c r="J99"/>
  <c r="AB99"/>
  <c r="AT97"/>
  <c r="AF97"/>
  <c r="AN97"/>
  <c r="AE97"/>
  <c r="H97"/>
  <c r="AA97"/>
  <c r="Z97"/>
  <c r="X97"/>
  <c r="W97"/>
  <c r="V97"/>
  <c r="U97"/>
  <c r="T97"/>
  <c r="P97"/>
  <c r="L97"/>
  <c r="AV97"/>
  <c r="J97"/>
  <c r="AB97"/>
  <c r="AT95"/>
  <c r="AF95"/>
  <c r="AN95"/>
  <c r="AE95"/>
  <c r="AM95"/>
  <c r="AA95"/>
  <c r="Z95"/>
  <c r="X95"/>
  <c r="W95"/>
  <c r="V95"/>
  <c r="U95"/>
  <c r="T95"/>
  <c r="P95"/>
  <c r="L95"/>
  <c r="AV95"/>
  <c r="J95"/>
  <c r="AB95"/>
  <c r="L93"/>
  <c r="J93"/>
  <c r="I93" s="1"/>
  <c r="AT91"/>
  <c r="AF91"/>
  <c r="AE91"/>
  <c r="AA91"/>
  <c r="Z91"/>
  <c r="X91"/>
  <c r="W91"/>
  <c r="V91"/>
  <c r="U91"/>
  <c r="T91"/>
  <c r="P91"/>
  <c r="L89"/>
  <c r="J89"/>
  <c r="I89" s="1"/>
  <c r="H89"/>
  <c r="L169"/>
  <c r="J169"/>
  <c r="H169"/>
  <c r="L168"/>
  <c r="J168"/>
  <c r="I168" s="1"/>
  <c r="H168"/>
  <c r="L167"/>
  <c r="J167"/>
  <c r="I167" s="1"/>
  <c r="H167"/>
  <c r="AT165"/>
  <c r="AF165"/>
  <c r="AN165"/>
  <c r="AE165"/>
  <c r="AM165"/>
  <c r="AS165" s="1"/>
  <c r="AA165"/>
  <c r="Z165"/>
  <c r="X165"/>
  <c r="W165"/>
  <c r="V165"/>
  <c r="U165"/>
  <c r="T165"/>
  <c r="S165"/>
  <c r="R165"/>
  <c r="L165"/>
  <c r="AV165"/>
  <c r="J165"/>
  <c r="AT152"/>
  <c r="AF152"/>
  <c r="AE152"/>
  <c r="AA152"/>
  <c r="Z152"/>
  <c r="X152"/>
  <c r="W152"/>
  <c r="V152"/>
  <c r="U152"/>
  <c r="T152"/>
  <c r="P152"/>
  <c r="AA153"/>
  <c r="Z153"/>
  <c r="X153"/>
  <c r="W153"/>
  <c r="V153"/>
  <c r="U153"/>
  <c r="T153"/>
  <c r="S153"/>
  <c r="R153"/>
  <c r="L153"/>
  <c r="AV153"/>
  <c r="AT151"/>
  <c r="AF151"/>
  <c r="AE151"/>
  <c r="AA151"/>
  <c r="Z151"/>
  <c r="X151"/>
  <c r="W151"/>
  <c r="V151"/>
  <c r="U151"/>
  <c r="T151"/>
  <c r="P151"/>
  <c r="AT146"/>
  <c r="AF146"/>
  <c r="AE146"/>
  <c r="AA146"/>
  <c r="Z146"/>
  <c r="X146"/>
  <c r="W146"/>
  <c r="V146"/>
  <c r="U146"/>
  <c r="T146"/>
  <c r="P146"/>
  <c r="L87"/>
  <c r="J87"/>
  <c r="H87"/>
  <c r="L85"/>
  <c r="J85"/>
  <c r="H85"/>
  <c r="H83"/>
  <c r="J83"/>
  <c r="I83" s="1"/>
  <c r="L83"/>
  <c r="H81"/>
  <c r="J81"/>
  <c r="F66"/>
  <c r="F65"/>
  <c r="F64"/>
  <c r="F48"/>
  <c r="F47"/>
  <c r="F46"/>
  <c r="L40"/>
  <c r="J40"/>
  <c r="H40"/>
  <c r="F41"/>
  <c r="AM101"/>
  <c r="H117"/>
  <c r="R117"/>
  <c r="H121"/>
  <c r="I121" s="1"/>
  <c r="S121" s="1"/>
  <c r="AM127"/>
  <c r="AS99"/>
  <c r="AS125"/>
  <c r="AM105"/>
  <c r="AS105" s="1"/>
  <c r="AM109"/>
  <c r="AS109" s="1"/>
  <c r="AM123"/>
  <c r="AS123" s="1"/>
  <c r="I169"/>
  <c r="AM113"/>
  <c r="AS113" s="1"/>
  <c r="H125"/>
  <c r="R125"/>
  <c r="AS103"/>
  <c r="AS107"/>
  <c r="AS127"/>
  <c r="H133"/>
  <c r="R133" s="1"/>
  <c r="AS135"/>
  <c r="R137"/>
  <c r="AS95"/>
  <c r="AM97"/>
  <c r="AS97"/>
  <c r="AM131"/>
  <c r="AS131" s="1"/>
  <c r="AS121"/>
  <c r="I117"/>
  <c r="S117"/>
  <c r="AS117"/>
  <c r="AS129"/>
  <c r="AS137"/>
  <c r="H135"/>
  <c r="R135"/>
  <c r="I123"/>
  <c r="S123" s="1"/>
  <c r="I127"/>
  <c r="S127" s="1"/>
  <c r="I131"/>
  <c r="S131"/>
  <c r="I129"/>
  <c r="S129"/>
  <c r="I97"/>
  <c r="S97"/>
  <c r="R97"/>
  <c r="AS101"/>
  <c r="R113"/>
  <c r="I113"/>
  <c r="S113"/>
  <c r="R105"/>
  <c r="I105"/>
  <c r="S105"/>
  <c r="R109"/>
  <c r="I109"/>
  <c r="S109"/>
  <c r="R101"/>
  <c r="I101"/>
  <c r="S101"/>
  <c r="AS115"/>
  <c r="H95"/>
  <c r="H99"/>
  <c r="H103"/>
  <c r="H107"/>
  <c r="H111"/>
  <c r="H115"/>
  <c r="AB165"/>
  <c r="H165"/>
  <c r="I165"/>
  <c r="P165"/>
  <c r="I87"/>
  <c r="I85"/>
  <c r="I81"/>
  <c r="I40"/>
  <c r="F63"/>
  <c r="F59"/>
  <c r="F45"/>
  <c r="F50"/>
  <c r="F49"/>
  <c r="R121"/>
  <c r="I133"/>
  <c r="S133" s="1"/>
  <c r="I125"/>
  <c r="S125"/>
  <c r="F92"/>
  <c r="F91"/>
  <c r="I137"/>
  <c r="S137"/>
  <c r="I135"/>
  <c r="S135"/>
  <c r="R115"/>
  <c r="I115"/>
  <c r="S115"/>
  <c r="I99"/>
  <c r="S99"/>
  <c r="R99"/>
  <c r="R111"/>
  <c r="I111"/>
  <c r="S111"/>
  <c r="R95"/>
  <c r="I95"/>
  <c r="S95"/>
  <c r="R107"/>
  <c r="I107"/>
  <c r="S107"/>
  <c r="R103"/>
  <c r="I103"/>
  <c r="S103"/>
  <c r="F68"/>
  <c r="F67"/>
  <c r="F71"/>
  <c r="H91"/>
  <c r="R91"/>
  <c r="J91"/>
  <c r="L91"/>
  <c r="AV91"/>
  <c r="AN91"/>
  <c r="AM91"/>
  <c r="AS91"/>
  <c r="AB91"/>
  <c r="I91"/>
  <c r="S91" s="1"/>
  <c r="F34"/>
  <c r="F33"/>
  <c r="F32"/>
  <c r="F26"/>
  <c r="F156"/>
  <c r="F22"/>
  <c r="F16"/>
  <c r="F15"/>
  <c r="F27"/>
  <c r="F157"/>
  <c r="F23"/>
  <c r="F19"/>
  <c r="F18"/>
  <c r="J18"/>
  <c r="AB18"/>
  <c r="F17"/>
  <c r="J4"/>
  <c r="F2" i="7"/>
  <c r="C6"/>
  <c r="C4"/>
  <c r="C2"/>
  <c r="F28"/>
  <c r="AT170" i="4"/>
  <c r="AF170"/>
  <c r="AN170"/>
  <c r="AE170"/>
  <c r="H170"/>
  <c r="H166" s="1"/>
  <c r="AA170"/>
  <c r="AJ154" s="1"/>
  <c r="Z170"/>
  <c r="X170"/>
  <c r="W170"/>
  <c r="V170"/>
  <c r="U170"/>
  <c r="T170"/>
  <c r="S170"/>
  <c r="R170"/>
  <c r="L170"/>
  <c r="AV170"/>
  <c r="J170"/>
  <c r="AB170"/>
  <c r="AT163"/>
  <c r="AF163"/>
  <c r="AE163"/>
  <c r="AA163"/>
  <c r="Z163"/>
  <c r="X163"/>
  <c r="W163"/>
  <c r="V163"/>
  <c r="U163"/>
  <c r="T163"/>
  <c r="S163"/>
  <c r="R163"/>
  <c r="AT161"/>
  <c r="AF161"/>
  <c r="AE161"/>
  <c r="AA161"/>
  <c r="Z161"/>
  <c r="X161"/>
  <c r="W161"/>
  <c r="V161"/>
  <c r="U161"/>
  <c r="T161"/>
  <c r="S161"/>
  <c r="R161"/>
  <c r="AT159"/>
  <c r="AF159"/>
  <c r="AE159"/>
  <c r="AA159"/>
  <c r="Z159"/>
  <c r="X159"/>
  <c r="W159"/>
  <c r="V159"/>
  <c r="U159"/>
  <c r="T159"/>
  <c r="S159"/>
  <c r="R159"/>
  <c r="AT155"/>
  <c r="AF155"/>
  <c r="AE155"/>
  <c r="AA155"/>
  <c r="Z155"/>
  <c r="X155"/>
  <c r="W155"/>
  <c r="V155"/>
  <c r="U155"/>
  <c r="T155"/>
  <c r="S155"/>
  <c r="R155"/>
  <c r="AT145"/>
  <c r="AF145"/>
  <c r="AE145"/>
  <c r="AA145"/>
  <c r="AJ144" s="1"/>
  <c r="Z145"/>
  <c r="AI144" s="1"/>
  <c r="X145"/>
  <c r="W145"/>
  <c r="V145"/>
  <c r="U145"/>
  <c r="T145"/>
  <c r="P145"/>
  <c r="AT140"/>
  <c r="AF140"/>
  <c r="AN140"/>
  <c r="AE140"/>
  <c r="AM140"/>
  <c r="AA140"/>
  <c r="AJ139" s="1"/>
  <c r="Z140"/>
  <c r="AI139" s="1"/>
  <c r="X140"/>
  <c r="W140"/>
  <c r="V140"/>
  <c r="U140"/>
  <c r="T140"/>
  <c r="P140"/>
  <c r="L140"/>
  <c r="AV140"/>
  <c r="J140"/>
  <c r="AB140"/>
  <c r="AK139" s="1"/>
  <c r="AT79"/>
  <c r="AF79"/>
  <c r="AN79"/>
  <c r="AE79"/>
  <c r="H79"/>
  <c r="R79"/>
  <c r="AA79"/>
  <c r="Z79"/>
  <c r="X79"/>
  <c r="W79"/>
  <c r="V79"/>
  <c r="U79"/>
  <c r="T79"/>
  <c r="P79"/>
  <c r="L79"/>
  <c r="AV79"/>
  <c r="J79"/>
  <c r="AB79"/>
  <c r="AT77"/>
  <c r="AF77"/>
  <c r="AN77"/>
  <c r="AE77"/>
  <c r="H77"/>
  <c r="AA77"/>
  <c r="Z77"/>
  <c r="AI76" s="1"/>
  <c r="X77"/>
  <c r="W77"/>
  <c r="V77"/>
  <c r="U77"/>
  <c r="T77"/>
  <c r="P77"/>
  <c r="L77"/>
  <c r="AV77"/>
  <c r="J77"/>
  <c r="AB77"/>
  <c r="AT73"/>
  <c r="AF73"/>
  <c r="AE73"/>
  <c r="AA73"/>
  <c r="Z73"/>
  <c r="X73"/>
  <c r="W73"/>
  <c r="V73"/>
  <c r="U73"/>
  <c r="T73"/>
  <c r="P73"/>
  <c r="AT72"/>
  <c r="AF72"/>
  <c r="AE72"/>
  <c r="AA72"/>
  <c r="Z72"/>
  <c r="X72"/>
  <c r="W72"/>
  <c r="V72"/>
  <c r="U72"/>
  <c r="T72"/>
  <c r="P72"/>
  <c r="AT69"/>
  <c r="AF69"/>
  <c r="AE69"/>
  <c r="AA69"/>
  <c r="Z69"/>
  <c r="X69"/>
  <c r="W69"/>
  <c r="V69"/>
  <c r="U69"/>
  <c r="T69"/>
  <c r="P69"/>
  <c r="AT67"/>
  <c r="AF67"/>
  <c r="AN67"/>
  <c r="AE67"/>
  <c r="H67"/>
  <c r="R67"/>
  <c r="AA67"/>
  <c r="Z67"/>
  <c r="X67"/>
  <c r="W67"/>
  <c r="V67"/>
  <c r="U67"/>
  <c r="T67"/>
  <c r="P67"/>
  <c r="L67"/>
  <c r="AV67"/>
  <c r="J67"/>
  <c r="AB67"/>
  <c r="AT63"/>
  <c r="AF63"/>
  <c r="AN63"/>
  <c r="AE63"/>
  <c r="AM63"/>
  <c r="AA63"/>
  <c r="Z63"/>
  <c r="X63"/>
  <c r="W63"/>
  <c r="V63"/>
  <c r="U63"/>
  <c r="T63"/>
  <c r="P63"/>
  <c r="L63"/>
  <c r="AV63"/>
  <c r="J63"/>
  <c r="AB63"/>
  <c r="AT60"/>
  <c r="AF60"/>
  <c r="AE60"/>
  <c r="AA60"/>
  <c r="Z60"/>
  <c r="X60"/>
  <c r="W60"/>
  <c r="V60"/>
  <c r="U60"/>
  <c r="T60"/>
  <c r="P60"/>
  <c r="AT57"/>
  <c r="AF57"/>
  <c r="AE57"/>
  <c r="AA57"/>
  <c r="Z57"/>
  <c r="X57"/>
  <c r="W57"/>
  <c r="V57"/>
  <c r="U57"/>
  <c r="T57"/>
  <c r="P57"/>
  <c r="AT54"/>
  <c r="AF54"/>
  <c r="AE54"/>
  <c r="AA54"/>
  <c r="Z54"/>
  <c r="X54"/>
  <c r="W54"/>
  <c r="V54"/>
  <c r="U54"/>
  <c r="T54"/>
  <c r="P54"/>
  <c r="AT52"/>
  <c r="AF52"/>
  <c r="AE52"/>
  <c r="AA52"/>
  <c r="Z52"/>
  <c r="X52"/>
  <c r="W52"/>
  <c r="V52"/>
  <c r="U52"/>
  <c r="T52"/>
  <c r="P52"/>
  <c r="AT49"/>
  <c r="AF49"/>
  <c r="AN49"/>
  <c r="AE49"/>
  <c r="H49"/>
  <c r="R49"/>
  <c r="AA49"/>
  <c r="Z49"/>
  <c r="X49"/>
  <c r="W49"/>
  <c r="V49"/>
  <c r="U49"/>
  <c r="T49"/>
  <c r="P49"/>
  <c r="L49"/>
  <c r="AV49"/>
  <c r="J49"/>
  <c r="AB49"/>
  <c r="AT45"/>
  <c r="AF45"/>
  <c r="AN45"/>
  <c r="AE45"/>
  <c r="H45"/>
  <c r="R45"/>
  <c r="AA45"/>
  <c r="Z45"/>
  <c r="X45"/>
  <c r="W45"/>
  <c r="V45"/>
  <c r="U45"/>
  <c r="T45"/>
  <c r="P45"/>
  <c r="L45"/>
  <c r="J45"/>
  <c r="AB45" s="1"/>
  <c r="AK44" s="1"/>
  <c r="AT41"/>
  <c r="AF41"/>
  <c r="AN41"/>
  <c r="AE41"/>
  <c r="H41"/>
  <c r="AA41"/>
  <c r="Z41"/>
  <c r="X41"/>
  <c r="W41"/>
  <c r="V41"/>
  <c r="U41"/>
  <c r="T41"/>
  <c r="P41"/>
  <c r="L41"/>
  <c r="AV41"/>
  <c r="J41"/>
  <c r="AB41"/>
  <c r="AT38"/>
  <c r="AF38"/>
  <c r="AN38"/>
  <c r="AE38"/>
  <c r="AM38"/>
  <c r="AA38"/>
  <c r="Z38"/>
  <c r="X38"/>
  <c r="W38"/>
  <c r="V38"/>
  <c r="U38"/>
  <c r="T38"/>
  <c r="P38"/>
  <c r="L38"/>
  <c r="J38"/>
  <c r="AB38"/>
  <c r="AT35"/>
  <c r="AF35"/>
  <c r="AE35"/>
  <c r="AA35"/>
  <c r="Z35"/>
  <c r="X35"/>
  <c r="W35"/>
  <c r="V35"/>
  <c r="U35"/>
  <c r="T35"/>
  <c r="P35"/>
  <c r="AT31"/>
  <c r="AF31"/>
  <c r="AE31"/>
  <c r="AA31"/>
  <c r="Z31"/>
  <c r="X31"/>
  <c r="W31"/>
  <c r="V31"/>
  <c r="U31"/>
  <c r="T31"/>
  <c r="P31"/>
  <c r="AT29"/>
  <c r="AF29"/>
  <c r="AE29"/>
  <c r="AA29"/>
  <c r="AJ28" s="1"/>
  <c r="Z29"/>
  <c r="X29"/>
  <c r="W29"/>
  <c r="V29"/>
  <c r="U29"/>
  <c r="T29"/>
  <c r="P29"/>
  <c r="AT25"/>
  <c r="AF25"/>
  <c r="AE25"/>
  <c r="AA25"/>
  <c r="AJ24" s="1"/>
  <c r="Z25"/>
  <c r="X25"/>
  <c r="W25"/>
  <c r="V25"/>
  <c r="U25"/>
  <c r="T25"/>
  <c r="P25"/>
  <c r="AT21"/>
  <c r="AF21"/>
  <c r="AE21"/>
  <c r="AA21"/>
  <c r="AJ20" s="1"/>
  <c r="Z21"/>
  <c r="AI20" s="1"/>
  <c r="X21"/>
  <c r="W21"/>
  <c r="V21"/>
  <c r="U21"/>
  <c r="T21"/>
  <c r="P21"/>
  <c r="AT18"/>
  <c r="AF18"/>
  <c r="AE18"/>
  <c r="AA18"/>
  <c r="Z18"/>
  <c r="X18"/>
  <c r="W18"/>
  <c r="V18"/>
  <c r="U18"/>
  <c r="T18"/>
  <c r="P18"/>
  <c r="AT14"/>
  <c r="AF14"/>
  <c r="AE14"/>
  <c r="AA14"/>
  <c r="Z14"/>
  <c r="X14"/>
  <c r="W14"/>
  <c r="V14"/>
  <c r="U14"/>
  <c r="T14"/>
  <c r="P14"/>
  <c r="F22" i="7"/>
  <c r="I22"/>
  <c r="H63" i="4"/>
  <c r="R63"/>
  <c r="AM49"/>
  <c r="AV38"/>
  <c r="P170"/>
  <c r="L139"/>
  <c r="F25"/>
  <c r="F58"/>
  <c r="F57"/>
  <c r="AM57"/>
  <c r="F21"/>
  <c r="AI13"/>
  <c r="AJ13"/>
  <c r="AI51"/>
  <c r="H140"/>
  <c r="H139" s="1"/>
  <c r="R140"/>
  <c r="AI62"/>
  <c r="AI154"/>
  <c r="I79"/>
  <c r="S79"/>
  <c r="AM170"/>
  <c r="AS170"/>
  <c r="I63"/>
  <c r="S63" s="1"/>
  <c r="AM41"/>
  <c r="AS41" s="1"/>
  <c r="L44"/>
  <c r="F31"/>
  <c r="F30"/>
  <c r="F29"/>
  <c r="AV45"/>
  <c r="AM79"/>
  <c r="AS79" s="1"/>
  <c r="AI44"/>
  <c r="AS38"/>
  <c r="AS140"/>
  <c r="AI37"/>
  <c r="AM45"/>
  <c r="AS45" s="1"/>
  <c r="AS63"/>
  <c r="L76"/>
  <c r="AJ76"/>
  <c r="AI28"/>
  <c r="AS49"/>
  <c r="AJ51"/>
  <c r="F14"/>
  <c r="I77"/>
  <c r="S77" s="1"/>
  <c r="R77"/>
  <c r="L25"/>
  <c r="J25"/>
  <c r="AB25"/>
  <c r="AK24" s="1"/>
  <c r="H25"/>
  <c r="I49"/>
  <c r="S49"/>
  <c r="H38"/>
  <c r="H37" s="1"/>
  <c r="AJ44"/>
  <c r="AM77"/>
  <c r="AS77"/>
  <c r="AM25"/>
  <c r="AM67"/>
  <c r="AS67" s="1"/>
  <c r="H44"/>
  <c r="AM18"/>
  <c r="AN25"/>
  <c r="I67"/>
  <c r="S67"/>
  <c r="AN18"/>
  <c r="L37"/>
  <c r="AI24"/>
  <c r="I41"/>
  <c r="R41"/>
  <c r="I45"/>
  <c r="AJ37"/>
  <c r="AJ62"/>
  <c r="I170"/>
  <c r="L18"/>
  <c r="H18"/>
  <c r="L57"/>
  <c r="AV57"/>
  <c r="L21"/>
  <c r="AV21"/>
  <c r="F148"/>
  <c r="F147"/>
  <c r="F158"/>
  <c r="F155"/>
  <c r="L14"/>
  <c r="AV14"/>
  <c r="F145"/>
  <c r="F152"/>
  <c r="F61"/>
  <c r="F60"/>
  <c r="AN21"/>
  <c r="H21"/>
  <c r="H20" s="1"/>
  <c r="J20" s="1"/>
  <c r="F72"/>
  <c r="F75"/>
  <c r="H57"/>
  <c r="R57"/>
  <c r="J21"/>
  <c r="AB21"/>
  <c r="AK20" s="1"/>
  <c r="AM21"/>
  <c r="AN57"/>
  <c r="AS57" s="1"/>
  <c r="J57"/>
  <c r="AB57" s="1"/>
  <c r="L31"/>
  <c r="AV31"/>
  <c r="F36"/>
  <c r="F35"/>
  <c r="H35"/>
  <c r="R35"/>
  <c r="AS18"/>
  <c r="AN29"/>
  <c r="AS29" s="1"/>
  <c r="AM29"/>
  <c r="H29"/>
  <c r="R29" s="1"/>
  <c r="AM31"/>
  <c r="AN31"/>
  <c r="H31"/>
  <c r="R31"/>
  <c r="AN60"/>
  <c r="L60"/>
  <c r="AV60"/>
  <c r="J60"/>
  <c r="AB60"/>
  <c r="I140"/>
  <c r="S140"/>
  <c r="J31"/>
  <c r="AB31" s="1"/>
  <c r="F70"/>
  <c r="F69"/>
  <c r="F53"/>
  <c r="F52"/>
  <c r="F55"/>
  <c r="L29"/>
  <c r="J29"/>
  <c r="AB29"/>
  <c r="AS25"/>
  <c r="I25"/>
  <c r="I24"/>
  <c r="AM14"/>
  <c r="J14"/>
  <c r="AB14"/>
  <c r="AK13" s="1"/>
  <c r="AN14"/>
  <c r="H14"/>
  <c r="R14"/>
  <c r="L20"/>
  <c r="AK37"/>
  <c r="R38"/>
  <c r="I38"/>
  <c r="S38"/>
  <c r="AV25"/>
  <c r="L24"/>
  <c r="R25"/>
  <c r="H24"/>
  <c r="R21"/>
  <c r="S45"/>
  <c r="I44"/>
  <c r="J44" s="1"/>
  <c r="S41"/>
  <c r="R18"/>
  <c r="I18"/>
  <c r="S18"/>
  <c r="AV18"/>
  <c r="L13"/>
  <c r="L152"/>
  <c r="AV152"/>
  <c r="J152"/>
  <c r="AM152"/>
  <c r="AN152"/>
  <c r="H152"/>
  <c r="R152"/>
  <c r="H72"/>
  <c r="R72"/>
  <c r="J35"/>
  <c r="J72"/>
  <c r="AB72" s="1"/>
  <c r="F159"/>
  <c r="F161"/>
  <c r="F163"/>
  <c r="L155"/>
  <c r="J155"/>
  <c r="AN155"/>
  <c r="H155"/>
  <c r="AM155"/>
  <c r="F150"/>
  <c r="F146"/>
  <c r="F151"/>
  <c r="AS21"/>
  <c r="I21"/>
  <c r="I20"/>
  <c r="AM60"/>
  <c r="AS60" s="1"/>
  <c r="H60"/>
  <c r="R60"/>
  <c r="L145"/>
  <c r="H145"/>
  <c r="J145"/>
  <c r="AN145"/>
  <c r="AM145"/>
  <c r="AM72"/>
  <c r="L72"/>
  <c r="AV72"/>
  <c r="AN72"/>
  <c r="L35"/>
  <c r="AV35"/>
  <c r="AS31"/>
  <c r="I57"/>
  <c r="S57" s="1"/>
  <c r="AN35"/>
  <c r="AM35"/>
  <c r="F56"/>
  <c r="F54"/>
  <c r="AM54"/>
  <c r="F74"/>
  <c r="F73"/>
  <c r="L69"/>
  <c r="H69"/>
  <c r="J69"/>
  <c r="AM69"/>
  <c r="AN69"/>
  <c r="I37"/>
  <c r="I31"/>
  <c r="S31"/>
  <c r="S25"/>
  <c r="L52"/>
  <c r="H52"/>
  <c r="J52"/>
  <c r="AB52"/>
  <c r="AM52"/>
  <c r="AN52"/>
  <c r="I14"/>
  <c r="I13" s="1"/>
  <c r="H13"/>
  <c r="AB35"/>
  <c r="I35"/>
  <c r="S35"/>
  <c r="AV29"/>
  <c r="AS14"/>
  <c r="J24"/>
  <c r="AS72"/>
  <c r="S21"/>
  <c r="AS155"/>
  <c r="I72"/>
  <c r="S72"/>
  <c r="AS152"/>
  <c r="AB152"/>
  <c r="I152"/>
  <c r="S152" s="1"/>
  <c r="AV155"/>
  <c r="L151"/>
  <c r="AV151"/>
  <c r="J151"/>
  <c r="AN151"/>
  <c r="H151"/>
  <c r="AM151"/>
  <c r="L163"/>
  <c r="AV163"/>
  <c r="J163"/>
  <c r="H163"/>
  <c r="AM163"/>
  <c r="AN163"/>
  <c r="L146"/>
  <c r="AV146"/>
  <c r="F149"/>
  <c r="J146"/>
  <c r="AN146"/>
  <c r="AM146"/>
  <c r="H146"/>
  <c r="R146"/>
  <c r="L161"/>
  <c r="AV161"/>
  <c r="J161"/>
  <c r="H161"/>
  <c r="AM161"/>
  <c r="AN161"/>
  <c r="L150"/>
  <c r="H150"/>
  <c r="J150"/>
  <c r="P155"/>
  <c r="AB155"/>
  <c r="I155"/>
  <c r="L159"/>
  <c r="AV159"/>
  <c r="J159"/>
  <c r="AN159"/>
  <c r="AM159"/>
  <c r="H159"/>
  <c r="H154"/>
  <c r="L54"/>
  <c r="AV54"/>
  <c r="I60"/>
  <c r="S60"/>
  <c r="AS145"/>
  <c r="AV145"/>
  <c r="L144"/>
  <c r="AB145"/>
  <c r="AK144" s="1"/>
  <c r="I145"/>
  <c r="R145"/>
  <c r="L28"/>
  <c r="H54"/>
  <c r="R54"/>
  <c r="J54"/>
  <c r="AB54"/>
  <c r="AS35"/>
  <c r="AN54"/>
  <c r="AS54" s="1"/>
  <c r="S14"/>
  <c r="J73"/>
  <c r="AM73"/>
  <c r="L73"/>
  <c r="AV73"/>
  <c r="H73"/>
  <c r="R73"/>
  <c r="AN73"/>
  <c r="AS69"/>
  <c r="AB69"/>
  <c r="I69"/>
  <c r="R69"/>
  <c r="AV69"/>
  <c r="I52"/>
  <c r="R52"/>
  <c r="AV52"/>
  <c r="AS52"/>
  <c r="AS161"/>
  <c r="L51"/>
  <c r="AS151"/>
  <c r="AS159"/>
  <c r="P159"/>
  <c r="AB159"/>
  <c r="I159"/>
  <c r="AT153"/>
  <c r="AE153"/>
  <c r="AF153"/>
  <c r="AN153"/>
  <c r="J153"/>
  <c r="AB161"/>
  <c r="I161"/>
  <c r="P161"/>
  <c r="AB151"/>
  <c r="I151"/>
  <c r="S151"/>
  <c r="I150"/>
  <c r="AB146"/>
  <c r="I146"/>
  <c r="S146"/>
  <c r="AS163"/>
  <c r="H149"/>
  <c r="L149"/>
  <c r="J149"/>
  <c r="I149" s="1"/>
  <c r="R151"/>
  <c r="L154"/>
  <c r="AS146"/>
  <c r="AB163"/>
  <c r="I163"/>
  <c r="P163"/>
  <c r="S145"/>
  <c r="I54"/>
  <c r="S54"/>
  <c r="H51"/>
  <c r="H62"/>
  <c r="L62"/>
  <c r="AS73"/>
  <c r="AB73"/>
  <c r="I73"/>
  <c r="S73" s="1"/>
  <c r="S69"/>
  <c r="S52"/>
  <c r="L12"/>
  <c r="P153"/>
  <c r="AB153"/>
  <c r="AM153"/>
  <c r="AS153"/>
  <c r="H153"/>
  <c r="H144"/>
  <c r="I62"/>
  <c r="J62" s="1"/>
  <c r="I51"/>
  <c r="I153"/>
  <c r="AK154" l="1"/>
  <c r="I166"/>
  <c r="J166" s="1"/>
  <c r="I154"/>
  <c r="J154" s="1"/>
  <c r="I144"/>
  <c r="J144"/>
  <c r="I139"/>
  <c r="J139"/>
  <c r="AK76"/>
  <c r="AS119"/>
  <c r="H119"/>
  <c r="AK62"/>
  <c r="J51"/>
  <c r="AK51"/>
  <c r="J37"/>
  <c r="AK28"/>
  <c r="I29"/>
  <c r="H28"/>
  <c r="J13"/>
  <c r="I119" l="1"/>
  <c r="H76"/>
  <c r="H12" s="1"/>
  <c r="C14" i="7" s="1"/>
  <c r="R119" i="4"/>
  <c r="I28"/>
  <c r="S29"/>
  <c r="J28"/>
  <c r="S119" l="1"/>
  <c r="I76"/>
  <c r="J76" s="1"/>
  <c r="J171" s="1"/>
  <c r="I12" l="1"/>
  <c r="C15" i="7" s="1"/>
  <c r="C22" s="1"/>
  <c r="C29" s="1"/>
  <c r="F29" s="1"/>
  <c r="I28" l="1"/>
  <c r="I29" s="1"/>
  <c r="J12" i="4"/>
</calcChain>
</file>

<file path=xl/sharedStrings.xml><?xml version="1.0" encoding="utf-8"?>
<sst xmlns="http://schemas.openxmlformats.org/spreadsheetml/2006/main" count="889" uniqueCount="375">
  <si>
    <t>Stavební rozpočet</t>
  </si>
  <si>
    <t>Název stavby:</t>
  </si>
  <si>
    <t>Druh stavby:</t>
  </si>
  <si>
    <t>Lokalita:</t>
  </si>
  <si>
    <t>JKSO:</t>
  </si>
  <si>
    <t>Č</t>
  </si>
  <si>
    <t xml:space="preserve">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</si>
  <si>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</si>
  <si>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</si>
  <si>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</si>
  <si>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</si>
  <si>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</si>
  <si>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</si>
  <si>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</si>
  <si>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</si>
  <si>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</si>
  <si>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</si>
  <si>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</si>
  <si>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</si>
  <si>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</si>
  <si>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</si>
  <si>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</si>
  <si>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</si>
  <si>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</si>
  <si>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</si>
  <si>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</si>
  <si>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</si>
  <si>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</si>
  <si>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</si>
  <si>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</si>
  <si>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</si>
  <si>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</si>
  <si>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</si>
  <si>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</si>
  <si>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</si>
  <si>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</si>
  <si>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</si>
  <si>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</si>
  <si>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</si>
  <si>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</si>
  <si>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</si>
  <si>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</si>
  <si>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</si>
  <si>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</si>
  <si>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</si>
  <si>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</si>
  <si>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</si>
  <si>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</si>
  <si>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</si>
  <si>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</si>
  <si>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</si>
  <si>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</si>
  <si>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</si>
  <si>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</si>
  <si>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</si>
  <si>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</si>
  <si>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</si>
  <si>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</si>
  <si>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</si>
  <si>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</si>
  <si>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</si>
  <si>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</si>
  <si>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</si>
  <si>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85</t>
  </si>
  <si>
    <t>89</t>
  </si>
  <si>
    <t>91</t>
  </si>
  <si>
    <t>Poznámka:</t>
  </si>
  <si>
    <t>Materiály a zařízení jmenovitě uvedené v dokumentaci a ve výkazu výměr nejsou podle zákona č. 137/2006 Sb. o veřejných zakázkách závazné, ale jsou reprezentanty určitého kvalitativního standardu. Pokud projekt a výkaz výměr obsahují požadavky na určité obchodní názvy materiálů a výrobků nebo odkazy na obchodní názvy firem nebo označení původu, uchazeč to při zpracování nabídky bude chápat jako vymezení kvalitativního standardu. Zadavatel umožňuje i použití jiných, kvalitativně a technicky obdobných řešení, pokud bude vymezený kvalitativní standard dodržen, nebo bude mít lepší parametry. Soupis prací byl zpracován s použitím cenové soustavy RTS. Cenová soustava RTS ve smyslu ustanovení vyhlášky č. 230/2012 Sb. splňuje veškeré náležitosti pro její použití při sestavování soupisu prací v rámci zadávací dokumentace veřejných zakázek.</t>
  </si>
  <si>
    <t>Objekt</t>
  </si>
  <si>
    <t>SO 001</t>
  </si>
  <si>
    <t>SO 002</t>
  </si>
  <si>
    <t>SO 003</t>
  </si>
  <si>
    <t>Kód</t>
  </si>
  <si>
    <t>0</t>
  </si>
  <si>
    <t>00090002.R</t>
  </si>
  <si>
    <t>00090003.R</t>
  </si>
  <si>
    <t>113107220RA0</t>
  </si>
  <si>
    <t>122201101R00</t>
  </si>
  <si>
    <t>130001101R00</t>
  </si>
  <si>
    <t>131201201R00</t>
  </si>
  <si>
    <t>131201209R00</t>
  </si>
  <si>
    <t>151101101R00</t>
  </si>
  <si>
    <t>151101111R00</t>
  </si>
  <si>
    <t>161101101R00</t>
  </si>
  <si>
    <t>162701101RT3</t>
  </si>
  <si>
    <t>167101101R00</t>
  </si>
  <si>
    <t>175100020RAD</t>
  </si>
  <si>
    <t>583412063</t>
  </si>
  <si>
    <t>174101101R00</t>
  </si>
  <si>
    <t>199000002R00</t>
  </si>
  <si>
    <t>171201201R00</t>
  </si>
  <si>
    <t>28653766</t>
  </si>
  <si>
    <t>286543691</t>
  </si>
  <si>
    <t>857601102R00</t>
  </si>
  <si>
    <t>552700708</t>
  </si>
  <si>
    <t>857701102R00</t>
  </si>
  <si>
    <t>55259815</t>
  </si>
  <si>
    <t>616612688</t>
  </si>
  <si>
    <t>722173990R00</t>
  </si>
  <si>
    <t>42227205</t>
  </si>
  <si>
    <t>422913309</t>
  </si>
  <si>
    <t>891261111R00</t>
  </si>
  <si>
    <t>42291510</t>
  </si>
  <si>
    <t>42200750</t>
  </si>
  <si>
    <t>857601101R00</t>
  </si>
  <si>
    <t>899401112R00</t>
  </si>
  <si>
    <t>919735113R00</t>
  </si>
  <si>
    <t>S</t>
  </si>
  <si>
    <t>979082313R00</t>
  </si>
  <si>
    <t>979081121R00</t>
  </si>
  <si>
    <t>979087212R00</t>
  </si>
  <si>
    <t>979990113R00</t>
  </si>
  <si>
    <t>998276101R00</t>
  </si>
  <si>
    <t>20026810010001</t>
  </si>
  <si>
    <t>20096011001600</t>
  </si>
  <si>
    <t>20062210320641</t>
  </si>
  <si>
    <t>891181111R00</t>
  </si>
  <si>
    <t>20052500900021</t>
  </si>
  <si>
    <t>891249111R00</t>
  </si>
  <si>
    <t>55118123</t>
  </si>
  <si>
    <t>2001650KASI000</t>
  </si>
  <si>
    <t>879172199R00</t>
  </si>
  <si>
    <t>457621412R00</t>
  </si>
  <si>
    <t>566904111R00</t>
  </si>
  <si>
    <t>573231111R00</t>
  </si>
  <si>
    <t>998225111R00</t>
  </si>
  <si>
    <t>obdnova vodovodu</t>
  </si>
  <si>
    <t>Dlouhá Lhota okr. Tábor</t>
  </si>
  <si>
    <t>Zkrácený popis</t>
  </si>
  <si>
    <t>Rozměry</t>
  </si>
  <si>
    <t>Všeobecné konstrukce a práce</t>
  </si>
  <si>
    <t>Ochranná hrazení po dobu provádění prací</t>
  </si>
  <si>
    <t>Ochrana stávajících inženýrských sítí po dobu provádění prací</t>
  </si>
  <si>
    <t>Přípravné a přidružené práce</t>
  </si>
  <si>
    <t>Odstranění asfaltobet. krytu do 5 cm, pl. do 50 m2</t>
  </si>
  <si>
    <t>Odkopávky a prokopávky</t>
  </si>
  <si>
    <t>Odkopávky nezapažené v hor. 3 do 100 m3</t>
  </si>
  <si>
    <t>Hloubené vykopávky</t>
  </si>
  <si>
    <t>Příplatek za ztížené hloubení v blízkosti vedení</t>
  </si>
  <si>
    <t>Hloubení zapažených jam v hor.3 do 100 m3</t>
  </si>
  <si>
    <t>Příplatek za lepivost - hloubení zapaž.jam v hor.3</t>
  </si>
  <si>
    <t>Ražení a hloubení tunelářské</t>
  </si>
  <si>
    <t>Roubení</t>
  </si>
  <si>
    <t>Pažení a rozepření stěn rýh - příložné - hl.do 2 m</t>
  </si>
  <si>
    <t>Odstranění pažení stěn rýh - příložné - hl. do 2 m</t>
  </si>
  <si>
    <t>Přemístění výkopku</t>
  </si>
  <si>
    <t>Svislé přemístění výkopku z hor.1-4 do 2,5 m</t>
  </si>
  <si>
    <t>Vodorovné přemístění výkopku z hor.1-4 do 6000 m - odvoz přebytečné zeminy na skládku</t>
  </si>
  <si>
    <t>Nakládání výkopku z hor.1-4 v množství do 100 m3</t>
  </si>
  <si>
    <t>Konstrukce ze zemin</t>
  </si>
  <si>
    <t>Obsyp potrubí štěrkopískem - dovoz štěrkopísku ze vzdálenosti 15km</t>
  </si>
  <si>
    <t>Kamenivo drcené frakce  0/4</t>
  </si>
  <si>
    <t>Zásyp jam, rýh, šachet se zhutněním</t>
  </si>
  <si>
    <t>Poplatek za skládku horniny 1- 4</t>
  </si>
  <si>
    <t>Uložení sypaniny na skl.-sypanina na výšku přes 2m</t>
  </si>
  <si>
    <t>Potrubí z trub litinových</t>
  </si>
  <si>
    <t>Nákružek lemový PE 100 d 110 mm +GF+</t>
  </si>
  <si>
    <t>Příruba volná k lemovému nákružku d110/DN100mm PPR</t>
  </si>
  <si>
    <t>Montáž tvarovek jednoosých, tvárná litina DN 100</t>
  </si>
  <si>
    <t>Odbočka přírub. T - NATURAL DN 100x100 PN 10-16</t>
  </si>
  <si>
    <t>1   uzel 31</t>
  </si>
  <si>
    <t>Montáž tvarovek odbočných, tvárná litina DN 100</t>
  </si>
  <si>
    <t>Přechod přír. Duktus FFR DN 100/ 80 EWS</t>
  </si>
  <si>
    <t>Elektrotvarovka s lehce vyrazitelným dorazem d 110</t>
  </si>
  <si>
    <t>Spoje pro rozvod vody plast elektrotvar. D 110 mm</t>
  </si>
  <si>
    <t>1   uzel 30</t>
  </si>
  <si>
    <t>Montáž vodovodních šoupátek ve výkopu DN 100</t>
  </si>
  <si>
    <t>Deska podkladová AVK pod poklopy 7.2.10</t>
  </si>
  <si>
    <t>Poklop uliční šoupátkový 1750  - voda</t>
  </si>
  <si>
    <t>Ostatní konstrukce a práce na trubním vedení</t>
  </si>
  <si>
    <t>Osazení poklopů litinových šoupátkových</t>
  </si>
  <si>
    <t>Doplňující konstrukce a práce na pozemních komunikacích a zpevněných plochách</t>
  </si>
  <si>
    <t>Řezání stávajícího živičného krytu tl. 10 - 15 cm</t>
  </si>
  <si>
    <t>Přesuny sutí</t>
  </si>
  <si>
    <t>Vodorovná doprava suti a hmot po suchu do 1000 m</t>
  </si>
  <si>
    <t>Příplatek k odvozu za každý další 1 km</t>
  </si>
  <si>
    <t>Nakládání suti na dopravní prostředky</t>
  </si>
  <si>
    <t>39,64</t>
  </si>
  <si>
    <t>Poplatek za skládku suti - obalované kam. - asfalt</t>
  </si>
  <si>
    <t>Přesun hmot, trubní vedení plastová, otevř. výkop</t>
  </si>
  <si>
    <t>Šoupátko kombinované ISO 2"x6/4"</t>
  </si>
  <si>
    <t>Souprava zemní teleskop. 1,0-1,6m pro domovní šoupátka</t>
  </si>
  <si>
    <t>Tvarovka ISO K 2681 6/4" x 32</t>
  </si>
  <si>
    <t>Montáž vodovodních šoupátek ve výkopu DN 40</t>
  </si>
  <si>
    <t>Spojka přímá 32x32 mosaz</t>
  </si>
  <si>
    <t>Poklop uliční samonivelační pro domovní přípojky</t>
  </si>
  <si>
    <t>Příplatek za montáž vodovodních přípojek DN 32-80 - přepojení stávajících</t>
  </si>
  <si>
    <t>Těsnění z asfaltobet. úprava spár zálivkou 2 kg/m</t>
  </si>
  <si>
    <t>Vyspravení podkladu po překopech kam.obal.asfaltem</t>
  </si>
  <si>
    <t>Postřik živičný spojovací z emulze 0,5-0,7 kg/m2</t>
  </si>
  <si>
    <t>Přesun hmot, pozemní komunikace, kryt živičný</t>
  </si>
  <si>
    <t>Doba výstavby:</t>
  </si>
  <si>
    <t>Začátek výstavby:</t>
  </si>
  <si>
    <t>Konec výstavby:</t>
  </si>
  <si>
    <t>Zpracováno dne:</t>
  </si>
  <si>
    <t>M.j.</t>
  </si>
  <si>
    <t>m</t>
  </si>
  <si>
    <t>m2</t>
  </si>
  <si>
    <t>m3</t>
  </si>
  <si>
    <t>t</t>
  </si>
  <si>
    <t>kus</t>
  </si>
  <si>
    <t>ks</t>
  </si>
  <si>
    <t>Množství</t>
  </si>
  <si>
    <t>Jednot.</t>
  </si>
  <si>
    <t>cena (Kč)</t>
  </si>
  <si>
    <t>Náklady (Kč)</t>
  </si>
  <si>
    <t>Dodávka</t>
  </si>
  <si>
    <t>Celkem:</t>
  </si>
  <si>
    <t>Objednatel:</t>
  </si>
  <si>
    <t>Projektant:</t>
  </si>
  <si>
    <t>Zhotovitel:</t>
  </si>
  <si>
    <t>Zpracoval:</t>
  </si>
  <si>
    <t>Montáž</t>
  </si>
  <si>
    <t>Obec Dlouhá Lhota</t>
  </si>
  <si>
    <t>Celkem</t>
  </si>
  <si>
    <t>Hmotnost (t)</t>
  </si>
  <si>
    <t>Cenová</t>
  </si>
  <si>
    <t>soustava</t>
  </si>
  <si>
    <t>Přesuny</t>
  </si>
  <si>
    <t>Typ skupiny</t>
  </si>
  <si>
    <t>HSV mat</t>
  </si>
  <si>
    <t>HSV prac</t>
  </si>
  <si>
    <t>PSV mat</t>
  </si>
  <si>
    <t>PSV prac</t>
  </si>
  <si>
    <t>Mont mat</t>
  </si>
  <si>
    <t>Mont prac</t>
  </si>
  <si>
    <t>Ostatní mat.</t>
  </si>
  <si>
    <t>0_</t>
  </si>
  <si>
    <t>11_</t>
  </si>
  <si>
    <t>12_</t>
  </si>
  <si>
    <t>13_</t>
  </si>
  <si>
    <t>14_</t>
  </si>
  <si>
    <t>15_</t>
  </si>
  <si>
    <t>16_</t>
  </si>
  <si>
    <t>17_</t>
  </si>
  <si>
    <t>85_</t>
  </si>
  <si>
    <t>89_</t>
  </si>
  <si>
    <t>91_</t>
  </si>
  <si>
    <t>S_</t>
  </si>
  <si>
    <t>18_</t>
  </si>
  <si>
    <t>45_</t>
  </si>
  <si>
    <t>57_</t>
  </si>
  <si>
    <t>SO 001_0_</t>
  </si>
  <si>
    <t>SO 001_1_</t>
  </si>
  <si>
    <t>SO 001_8_</t>
  </si>
  <si>
    <t>SO 001_9_</t>
  </si>
  <si>
    <t>SO 002_8_</t>
  </si>
  <si>
    <t>SO 003_1_</t>
  </si>
  <si>
    <t>SO 003_4_</t>
  </si>
  <si>
    <t>SO 003_5_</t>
  </si>
  <si>
    <t>SO 001_</t>
  </si>
  <si>
    <t>SO 002_</t>
  </si>
  <si>
    <t>SO 003_</t>
  </si>
  <si>
    <t>Rozpočtové náklady v Kč</t>
  </si>
  <si>
    <t>A</t>
  </si>
  <si>
    <t>HSV</t>
  </si>
  <si>
    <t>PSV</t>
  </si>
  <si>
    <t>"M"</t>
  </si>
  <si>
    <t>Ostatní materiál</t>
  </si>
  <si>
    <t>Přesun hmot a sutí</t>
  </si>
  <si>
    <t>ZRN celkem</t>
  </si>
  <si>
    <t>Základ 0%</t>
  </si>
  <si>
    <t>Základ 15%</t>
  </si>
  <si>
    <t>Základ 21%</t>
  </si>
  <si>
    <t>Projektant</t>
  </si>
  <si>
    <t>Datum, razítko a podpis</t>
  </si>
  <si>
    <t>Základní rozpočtové náklady</t>
  </si>
  <si>
    <t>Dodávky</t>
  </si>
  <si>
    <t>Krycí list rozpočtu</t>
  </si>
  <si>
    <t>B</t>
  </si>
  <si>
    <t>Práce přesčas</t>
  </si>
  <si>
    <t>Bez pevné podl.</t>
  </si>
  <si>
    <t>Kulturní památka</t>
  </si>
  <si>
    <t>DN celkem</t>
  </si>
  <si>
    <t>DN celkem z obj.</t>
  </si>
  <si>
    <t>DPH 15%</t>
  </si>
  <si>
    <t>DPH 21%</t>
  </si>
  <si>
    <t>Objednatel</t>
  </si>
  <si>
    <t>Doplňkové náklady</t>
  </si>
  <si>
    <t>C</t>
  </si>
  <si>
    <t>Zařízení staveniště</t>
  </si>
  <si>
    <t>Mimostav. doprava</t>
  </si>
  <si>
    <t>Územní vlivy</t>
  </si>
  <si>
    <t>Provozní vlivy</t>
  </si>
  <si>
    <t>Ostatní</t>
  </si>
  <si>
    <t>NUS z rozpočtu</t>
  </si>
  <si>
    <t>NUS celkem</t>
  </si>
  <si>
    <t>NUS celkem z obj.</t>
  </si>
  <si>
    <t>ORN celkem</t>
  </si>
  <si>
    <t>ORN celkem z obj.</t>
  </si>
  <si>
    <t>Celkem bez DPH</t>
  </si>
  <si>
    <t>Celkem včetně DPH</t>
  </si>
  <si>
    <t>Zhotovitel</t>
  </si>
  <si>
    <t>IČ/DIČ:</t>
  </si>
  <si>
    <t>Položek:</t>
  </si>
  <si>
    <t>Datum:</t>
  </si>
  <si>
    <t>Náklady na umístění stavby (NUS)</t>
  </si>
  <si>
    <t>00512567/</t>
  </si>
  <si>
    <t>Ing. Pavel Douša</t>
  </si>
  <si>
    <t>jáma 15 - k.ú. (2,5+2,5)*2</t>
  </si>
  <si>
    <t>244*1,5   plocha oblasti</t>
  </si>
  <si>
    <t>jáma 15 - k.ú. 2,5*2,5</t>
  </si>
  <si>
    <t>jáma 15 - k.ú. 2,5*2,5*0,4</t>
  </si>
  <si>
    <t>RTS II / 2020</t>
  </si>
  <si>
    <t>jáma 1. z.ú. (1+8)*2</t>
  </si>
  <si>
    <t>jámy 2.-.14. - 13*(1+1,5)*2</t>
  </si>
  <si>
    <t>jámy 2.-.14. - 13*1*1,5</t>
  </si>
  <si>
    <t>jámy 2.-.14. - 13*1*1,5*0,4</t>
  </si>
  <si>
    <t>jáma 1. z.ú. 1*8*1,2</t>
  </si>
  <si>
    <t>jámy 2.-.14. - 13*1*1,5*1,2</t>
  </si>
  <si>
    <t>jáma 15 - k.ú. 2,5*2,5*1,2</t>
  </si>
  <si>
    <t>15% z hloubení jam</t>
  </si>
  <si>
    <t>100% hloubení jam</t>
  </si>
  <si>
    <t>141721101R00</t>
  </si>
  <si>
    <t>Řízené protlačení a vtažení PE d 110 mm, hor.1 - 4</t>
  </si>
  <si>
    <t>celková délka</t>
  </si>
  <si>
    <t>Wavin TS voda SDR11  110x10,0    12m</t>
  </si>
  <si>
    <t>904VP503092W</t>
  </si>
  <si>
    <t xml:space="preserve">;ztratné 5%; </t>
  </si>
  <si>
    <t>871251121R00</t>
  </si>
  <si>
    <t>Montáž trubek polyetylenových  d 110 mm</t>
  </si>
  <si>
    <t>ŘAD 1</t>
  </si>
  <si>
    <t>viz pažení</t>
  </si>
  <si>
    <t>viz hloubení</t>
  </si>
  <si>
    <t>162301102R00</t>
  </si>
  <si>
    <t>Vodorovné přemístění výkopku z hor.1-4 do 1000 m</t>
  </si>
  <si>
    <t>na mezideponii</t>
  </si>
  <si>
    <t>z mezideponie ke zpětnému zásypu</t>
  </si>
  <si>
    <t xml:space="preserve">jáma 1. z.ú. </t>
  </si>
  <si>
    <t xml:space="preserve">jámy 2.-.14. </t>
  </si>
  <si>
    <t xml:space="preserve">jáma 15 </t>
  </si>
  <si>
    <t>z odkopávek</t>
  </si>
  <si>
    <t>přebytek za obsyp</t>
  </si>
  <si>
    <t>nakládání výkopku na mezideponii k zásypům</t>
  </si>
  <si>
    <t>přepočteno koeficientem 2t/m3</t>
  </si>
  <si>
    <t>hloubení celkem</t>
  </si>
  <si>
    <t>odpočet za obsyp potrubí</t>
  </si>
  <si>
    <t>uložení výkopku na mezideponii</t>
  </si>
  <si>
    <t>uložení přebytečné zeminy na skládku</t>
  </si>
  <si>
    <t>Dlouhá Lhota - obnova vodovodních řadů v obci III.etapa</t>
  </si>
  <si>
    <t>5.11.2020</t>
  </si>
  <si>
    <t>2   k.ú. 1 z.ú.</t>
  </si>
  <si>
    <t>Příruba zaslepovací Duktus X DN 100</t>
  </si>
  <si>
    <t>Příruba zaslepovací Duktus XG DN 100 závit 2"</t>
  </si>
  <si>
    <t>HAWLE spojka Synoflex s přírubou 7994, DN100,PN 16</t>
  </si>
  <si>
    <t>28653153.A</t>
  </si>
  <si>
    <t>Spojka mechanická ISIFLO 110 D 63 x 2"vnější závit</t>
  </si>
  <si>
    <t>TP (FF) - NATURAL DN 100 PN 10, L= 400 mm</t>
  </si>
  <si>
    <t>55259982</t>
  </si>
  <si>
    <t>Koleno přírubové Duktus Q DN 80-90° EWS</t>
  </si>
  <si>
    <t>Montáž tvarovek jednoosých, tvárná litina DN 80</t>
  </si>
  <si>
    <t>Q 80</t>
  </si>
  <si>
    <t>Šoupátko přírubové měkce těsnící , DN 100</t>
  </si>
  <si>
    <t>Souprava zemní teleskopická DN100-150,max.1,75m</t>
  </si>
  <si>
    <t>3   Š 100</t>
  </si>
  <si>
    <t>odkopávky - štěrk</t>
  </si>
  <si>
    <t>asfaltový kryt</t>
  </si>
  <si>
    <t>564861111R00</t>
  </si>
  <si>
    <t>Podklad ze štěrkodrti po zhutnění tloušťky 20 cm</t>
  </si>
  <si>
    <t>1.vrstva 32/63</t>
  </si>
  <si>
    <t>2. vrstva 0/32</t>
  </si>
  <si>
    <t>Kamenivo přírodní drcené</t>
  </si>
  <si>
    <t xml:space="preserve">Ostatní práce </t>
  </si>
  <si>
    <t>Vytýčení sítí</t>
  </si>
  <si>
    <t>kpl</t>
  </si>
  <si>
    <t>Geodetické zaměření skutečného provedení</t>
  </si>
  <si>
    <t>892273111R00</t>
  </si>
  <si>
    <t>Proplach a desinfekce potrubí  DN 100</t>
  </si>
  <si>
    <t>892271111R00</t>
  </si>
  <si>
    <t>Tlaková zkouška vodovodního potrubí DN 125</t>
  </si>
  <si>
    <t>13   hlavní domovní uzávěry</t>
  </si>
  <si>
    <t>Navrtávací pas na PE 110/2" - dva šrouby</t>
  </si>
  <si>
    <t>Montáž navrtávacích pasů DN 100</t>
  </si>
  <si>
    <t>899401111R00</t>
  </si>
  <si>
    <t>Osazení poklopů litinových ventilových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</si>
</sst>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54"/>
      <name val="Arial"/>
      <family val="2"/>
      <charset val="238"/>
    </font>
    <font>
      <sz val="10"/>
      <color indexed="56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10"/>
      <color indexed="54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10"/>
      <color indexed="63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24"/>
      <color indexed="8"/>
      <name val="Arial"/>
      <family val="2"/>
      <charset val="238"/>
    </font>
    <font>
      <b/>
      <sz val="10"/>
      <color indexed="54"/>
      <name val="Arial"/>
      <family val="2"/>
      <charset val="238"/>
    </font>
    <font>
      <i/>
      <sz val="10"/>
      <color indexed="63"/>
      <name val="Arial"/>
      <family val="2"/>
      <charset val="238"/>
    </font>
    <font>
      <sz val="10"/>
      <color indexed="61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9"/>
      </patternFill>
    </fill>
    <fill>
      <patternFill patternType="solid">
        <fgColor indexed="57"/>
        <bgColor indexed="9"/>
      </patternFill>
    </fill>
    <fill>
      <patternFill patternType="solid">
        <fgColor indexed="22"/>
        <bgColor indexed="9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1">
    <xf numFmtId="0" fontId="1" fillId="0" borderId="0" xfId="0" applyFont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49" fontId="3" fillId="0" borderId="2" xfId="0" applyNumberFormat="1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 applyProtection="1">
      <alignment vertical="center"/>
    </xf>
    <xf numFmtId="49" fontId="4" fillId="2" borderId="4" xfId="0" applyNumberFormat="1" applyFont="1" applyFill="1" applyBorder="1" applyAlignment="1" applyProtection="1">
      <alignment vertical="center"/>
    </xf>
    <xf numFmtId="49" fontId="5" fillId="3" borderId="0" xfId="0" applyNumberFormat="1" applyFon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7" fillId="0" borderId="0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/>
    </xf>
    <xf numFmtId="49" fontId="8" fillId="0" borderId="0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49" fontId="9" fillId="2" borderId="4" xfId="0" applyNumberFormat="1" applyFont="1" applyFill="1" applyBorder="1" applyAlignment="1" applyProtection="1">
      <alignment vertical="center"/>
    </xf>
    <xf numFmtId="49" fontId="10" fillId="3" borderId="0" xfId="0" applyNumberFormat="1" applyFont="1" applyFill="1" applyBorder="1" applyAlignment="1" applyProtection="1">
      <alignment vertical="center"/>
    </xf>
    <xf numFmtId="49" fontId="3" fillId="0" borderId="8" xfId="0" applyNumberFormat="1" applyFont="1" applyFill="1" applyBorder="1" applyAlignment="1" applyProtection="1">
      <alignment vertical="center"/>
    </xf>
    <xf numFmtId="49" fontId="11" fillId="0" borderId="0" xfId="0" applyNumberFormat="1" applyFont="1" applyFill="1" applyBorder="1" applyAlignment="1" applyProtection="1">
      <alignment vertical="center"/>
    </xf>
    <xf numFmtId="49" fontId="3" fillId="0" borderId="7" xfId="0" applyNumberFormat="1" applyFont="1" applyFill="1" applyBorder="1" applyAlignment="1" applyProtection="1">
      <alignment horizontal="center" vertical="center"/>
    </xf>
    <xf numFmtId="4" fontId="6" fillId="0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Fill="1" applyBorder="1" applyAlignment="1" applyProtection="1">
      <alignment horizontal="right" vertical="center"/>
    </xf>
    <xf numFmtId="4" fontId="7" fillId="0" borderId="0" xfId="0" applyNumberFormat="1" applyFont="1" applyFill="1" applyBorder="1" applyAlignment="1" applyProtection="1">
      <alignment horizontal="right" vertical="center"/>
    </xf>
    <xf numFmtId="4" fontId="6" fillId="0" borderId="5" xfId="0" applyNumberFormat="1" applyFont="1" applyFill="1" applyBorder="1" applyAlignment="1" applyProtection="1">
      <alignment horizontal="right" vertical="center"/>
    </xf>
    <xf numFmtId="49" fontId="3" fillId="0" borderId="9" xfId="0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/>
    </xf>
    <xf numFmtId="49" fontId="3" fillId="0" borderId="13" xfId="0" applyNumberFormat="1" applyFont="1" applyFill="1" applyBorder="1" applyAlignment="1" applyProtection="1">
      <alignment horizontal="center" vertical="center"/>
    </xf>
    <xf numFmtId="49" fontId="9" fillId="2" borderId="4" xfId="0" applyNumberFormat="1" applyFont="1" applyFill="1" applyBorder="1" applyAlignment="1" applyProtection="1">
      <alignment horizontal="right" vertical="center"/>
    </xf>
    <xf numFmtId="49" fontId="10" fillId="3" borderId="0" xfId="0" applyNumberFormat="1" applyFont="1" applyFill="1" applyBorder="1" applyAlignment="1" applyProtection="1">
      <alignment horizontal="right" vertical="center"/>
    </xf>
    <xf numFmtId="0" fontId="1" fillId="0" borderId="14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vertical="center"/>
    </xf>
    <xf numFmtId="49" fontId="3" fillId="0" borderId="16" xfId="0" applyNumberFormat="1" applyFont="1" applyFill="1" applyBorder="1" applyAlignment="1" applyProtection="1">
      <alignment horizontal="center" vertical="center"/>
    </xf>
    <xf numFmtId="49" fontId="3" fillId="0" borderId="17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right" vertical="center"/>
    </xf>
    <xf numFmtId="49" fontId="6" fillId="0" borderId="5" xfId="0" applyNumberFormat="1" applyFont="1" applyFill="1" applyBorder="1" applyAlignment="1" applyProtection="1">
      <alignment horizontal="right" vertical="center"/>
    </xf>
    <xf numFmtId="0" fontId="1" fillId="0" borderId="18" xfId="0" applyNumberFormat="1" applyFont="1" applyFill="1" applyBorder="1" applyAlignment="1" applyProtection="1">
      <alignment vertical="center"/>
    </xf>
    <xf numFmtId="4" fontId="1" fillId="0" borderId="0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horizontal="right" vertical="center"/>
    </xf>
    <xf numFmtId="4" fontId="9" fillId="2" borderId="4" xfId="0" applyNumberFormat="1" applyFont="1" applyFill="1" applyBorder="1" applyAlignment="1" applyProtection="1">
      <alignment horizontal="right" vertical="center"/>
    </xf>
    <xf numFmtId="4" fontId="10" fillId="3" borderId="0" xfId="0" applyNumberFormat="1" applyFont="1" applyFill="1" applyBorder="1" applyAlignment="1" applyProtection="1">
      <alignment horizontal="right" vertical="center"/>
    </xf>
    <xf numFmtId="4" fontId="3" fillId="0" borderId="6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>
      <alignment vertical="center"/>
    </xf>
    <xf numFmtId="0" fontId="1" fillId="0" borderId="19" xfId="0" applyNumberFormat="1" applyFont="1" applyFill="1" applyBorder="1" applyAlignment="1" applyProtection="1">
      <alignment vertical="center"/>
    </xf>
    <xf numFmtId="49" fontId="13" fillId="4" borderId="20" xfId="0" applyNumberFormat="1" applyFont="1" applyFill="1" applyBorder="1" applyAlignment="1" applyProtection="1">
      <alignment horizontal="center" vertical="center"/>
    </xf>
    <xf numFmtId="49" fontId="14" fillId="0" borderId="21" xfId="0" applyNumberFormat="1" applyFont="1" applyFill="1" applyBorder="1" applyAlignment="1" applyProtection="1">
      <alignment vertical="center"/>
    </xf>
    <xf numFmtId="49" fontId="14" fillId="0" borderId="22" xfId="0" applyNumberFormat="1" applyFont="1" applyFill="1" applyBorder="1" applyAlignment="1" applyProtection="1">
      <alignment vertical="center"/>
    </xf>
    <xf numFmtId="0" fontId="1" fillId="0" borderId="23" xfId="0" applyNumberFormat="1" applyFont="1" applyFill="1" applyBorder="1" applyAlignment="1" applyProtection="1">
      <alignment vertical="center"/>
    </xf>
    <xf numFmtId="49" fontId="8" fillId="0" borderId="4" xfId="0" applyNumberFormat="1" applyFont="1" applyFill="1" applyBorder="1" applyAlignment="1" applyProtection="1">
      <alignment vertical="center"/>
    </xf>
    <xf numFmtId="49" fontId="15" fillId="0" borderId="20" xfId="0" applyNumberFormat="1" applyFont="1" applyFill="1" applyBorder="1" applyAlignment="1" applyProtection="1">
      <alignment vertical="center"/>
    </xf>
    <xf numFmtId="0" fontId="1" fillId="0" borderId="4" xfId="0" applyNumberFormat="1" applyFont="1" applyFill="1" applyBorder="1" applyAlignment="1" applyProtection="1">
      <alignment vertical="center"/>
    </xf>
    <xf numFmtId="4" fontId="15" fillId="0" borderId="20" xfId="0" applyNumberFormat="1" applyFont="1" applyFill="1" applyBorder="1" applyAlignment="1" applyProtection="1">
      <alignment horizontal="right" vertical="center"/>
    </xf>
    <xf numFmtId="49" fontId="15" fillId="0" borderId="20" xfId="0" applyNumberFormat="1" applyFont="1" applyFill="1" applyBorder="1" applyAlignment="1" applyProtection="1">
      <alignment horizontal="right" vertical="center"/>
    </xf>
    <xf numFmtId="4" fontId="15" fillId="0" borderId="12" xfId="0" applyNumberFormat="1" applyFont="1" applyFill="1" applyBorder="1" applyAlignment="1" applyProtection="1">
      <alignment horizontal="right" vertical="center"/>
    </xf>
    <xf numFmtId="0" fontId="1" fillId="0" borderId="24" xfId="0" applyNumberFormat="1" applyFont="1" applyFill="1" applyBorder="1" applyAlignment="1" applyProtection="1">
      <alignment vertical="center"/>
    </xf>
    <xf numFmtId="4" fontId="14" fillId="4" borderId="25" xfId="0" applyNumberFormat="1" applyFont="1" applyFill="1" applyBorder="1" applyAlignment="1" applyProtection="1">
      <alignment horizontal="right" vertical="center"/>
    </xf>
    <xf numFmtId="0" fontId="1" fillId="0" borderId="5" xfId="0" applyNumberFormat="1" applyFont="1" applyFill="1" applyBorder="1" applyAlignment="1" applyProtection="1"/>
    <xf numFmtId="49" fontId="18" fillId="2" borderId="4" xfId="0" applyNumberFormat="1" applyFont="1" applyFill="1" applyBorder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vertical="center"/>
    </xf>
    <xf numFmtId="49" fontId="20" fillId="0" borderId="0" xfId="0" applyNumberFormat="1" applyFont="1" applyFill="1" applyBorder="1" applyAlignment="1" applyProtection="1">
      <alignment vertical="center"/>
    </xf>
    <xf numFmtId="0" fontId="25" fillId="0" borderId="0" xfId="0" applyFont="1" applyAlignment="1">
      <alignment vertical="center"/>
    </xf>
    <xf numFmtId="49" fontId="20" fillId="0" borderId="0" xfId="0" applyNumberFormat="1" applyFont="1" applyFill="1" applyBorder="1" applyAlignment="1" applyProtection="1">
      <alignment horizontal="right" vertical="center"/>
    </xf>
    <xf numFmtId="49" fontId="21" fillId="0" borderId="0" xfId="0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3" fillId="0" borderId="0" xfId="0" applyFont="1" applyAlignment="1">
      <alignment vertical="center"/>
    </xf>
    <xf numFmtId="4" fontId="20" fillId="0" borderId="0" xfId="0" applyNumberFormat="1" applyFont="1" applyFill="1" applyBorder="1" applyAlignment="1" applyProtection="1">
      <alignment horizontal="right" vertical="center"/>
    </xf>
    <xf numFmtId="49" fontId="20" fillId="0" borderId="5" xfId="0" applyNumberFormat="1" applyFont="1" applyFill="1" applyBorder="1" applyAlignment="1" applyProtection="1">
      <alignment vertical="center"/>
    </xf>
    <xf numFmtId="49" fontId="24" fillId="3" borderId="0" xfId="0" applyNumberFormat="1" applyFont="1" applyFill="1" applyBorder="1" applyAlignment="1" applyProtection="1">
      <alignment vertical="center"/>
    </xf>
    <xf numFmtId="49" fontId="15" fillId="0" borderId="18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5" fillId="0" borderId="32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49" fontId="15" fillId="0" borderId="33" xfId="0" applyNumberFormat="1" applyFont="1" applyFill="1" applyBorder="1" applyAlignment="1" applyProtection="1">
      <alignment vertical="center"/>
    </xf>
    <xf numFmtId="0" fontId="15" fillId="0" borderId="34" xfId="0" applyNumberFormat="1" applyFont="1" applyFill="1" applyBorder="1" applyAlignment="1" applyProtection="1">
      <alignment vertical="center"/>
    </xf>
    <xf numFmtId="0" fontId="15" fillId="0" borderId="35" xfId="0" applyNumberFormat="1" applyFont="1" applyFill="1" applyBorder="1" applyAlignment="1" applyProtection="1">
      <alignment vertical="center"/>
    </xf>
    <xf numFmtId="49" fontId="15" fillId="0" borderId="30" xfId="0" applyNumberFormat="1" applyFont="1" applyFill="1" applyBorder="1" applyAlignment="1" applyProtection="1">
      <alignment vertical="center"/>
    </xf>
    <xf numFmtId="0" fontId="15" fillId="0" borderId="4" xfId="0" applyNumberFormat="1" applyFont="1" applyFill="1" applyBorder="1" applyAlignment="1" applyProtection="1">
      <alignment vertical="center"/>
    </xf>
    <xf numFmtId="0" fontId="15" fillId="0" borderId="31" xfId="0" applyNumberFormat="1" applyFont="1" applyFill="1" applyBorder="1" applyAlignment="1" applyProtection="1">
      <alignment vertical="center"/>
    </xf>
    <xf numFmtId="49" fontId="14" fillId="4" borderId="29" xfId="0" applyNumberFormat="1" applyFont="1" applyFill="1" applyBorder="1" applyAlignment="1" applyProtection="1">
      <alignment vertical="center"/>
    </xf>
    <xf numFmtId="0" fontId="14" fillId="4" borderId="28" xfId="0" applyNumberFormat="1" applyFont="1" applyFill="1" applyBorder="1" applyAlignment="1" applyProtection="1">
      <alignment vertical="center"/>
    </xf>
    <xf numFmtId="49" fontId="14" fillId="0" borderId="29" xfId="0" applyNumberFormat="1" applyFont="1" applyFill="1" applyBorder="1" applyAlignment="1" applyProtection="1">
      <alignment vertical="center"/>
    </xf>
    <xf numFmtId="0" fontId="14" fillId="0" borderId="25" xfId="0" applyNumberFormat="1" applyFont="1" applyFill="1" applyBorder="1" applyAlignment="1" applyProtection="1">
      <alignment vertical="center"/>
    </xf>
    <xf numFmtId="49" fontId="15" fillId="0" borderId="29" xfId="0" applyNumberFormat="1" applyFont="1" applyFill="1" applyBorder="1" applyAlignment="1" applyProtection="1">
      <alignment vertical="center"/>
    </xf>
    <xf numFmtId="0" fontId="15" fillId="0" borderId="25" xfId="0" applyNumberFormat="1" applyFont="1" applyFill="1" applyBorder="1" applyAlignment="1" applyProtection="1">
      <alignment vertical="center"/>
    </xf>
    <xf numFmtId="49" fontId="12" fillId="0" borderId="28" xfId="0" applyNumberFormat="1" applyFont="1" applyFill="1" applyBorder="1" applyAlignment="1" applyProtection="1">
      <alignment horizontal="center" vertical="center"/>
    </xf>
    <xf numFmtId="0" fontId="12" fillId="0" borderId="28" xfId="0" applyNumberFormat="1" applyFont="1" applyFill="1" applyBorder="1" applyAlignment="1" applyProtection="1">
      <alignment horizontal="center" vertical="center"/>
    </xf>
    <xf numFmtId="49" fontId="16" fillId="0" borderId="29" xfId="0" applyNumberFormat="1" applyFont="1" applyFill="1" applyBorder="1" applyAlignment="1" applyProtection="1">
      <alignment vertical="center"/>
    </xf>
    <xf numFmtId="0" fontId="16" fillId="0" borderId="25" xfId="0" applyNumberFormat="1" applyFont="1" applyFill="1" applyBorder="1" applyAlignment="1" applyProtection="1">
      <alignment vertical="center"/>
    </xf>
    <xf numFmtId="0" fontId="23" fillId="0" borderId="15" xfId="0" applyNumberFormat="1" applyFont="1" applyFill="1" applyBorder="1" applyAlignment="1" applyProtection="1">
      <alignment vertical="center"/>
    </xf>
    <xf numFmtId="0" fontId="1" fillId="0" borderId="15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9" xfId="0" applyNumberFormat="1" applyFont="1" applyFill="1" applyBorder="1" applyAlignment="1" applyProtection="1">
      <alignment vertical="center"/>
    </xf>
    <xf numFmtId="0" fontId="1" fillId="0" borderId="5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14" fontId="1" fillId="0" borderId="15" xfId="0" applyNumberFormat="1" applyFont="1" applyFill="1" applyBorder="1" applyAlignment="1" applyProtection="1">
      <alignment horizontal="left" vertical="center" wrapText="1"/>
    </xf>
    <xf numFmtId="0" fontId="1" fillId="0" borderId="27" xfId="0" applyNumberFormat="1" applyFont="1" applyFill="1" applyBorder="1" applyAlignment="1" applyProtection="1">
      <alignment horizontal="left" vertical="center"/>
    </xf>
    <xf numFmtId="0" fontId="1" fillId="0" borderId="1" xfId="0" applyNumberFormat="1" applyFont="1" applyFill="1" applyBorder="1" applyAlignment="1" applyProtection="1">
      <alignment vertical="center"/>
    </xf>
    <xf numFmtId="49" fontId="1" fillId="0" borderId="15" xfId="0" applyNumberFormat="1" applyFont="1" applyFill="1" applyBorder="1" applyAlignment="1" applyProtection="1">
      <alignment vertical="center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/>
    </xf>
    <xf numFmtId="0" fontId="1" fillId="0" borderId="26" xfId="0" applyNumberFormat="1" applyFont="1" applyFill="1" applyBorder="1" applyAlignment="1" applyProtection="1">
      <alignment vertical="center" wrapText="1"/>
    </xf>
    <xf numFmtId="0" fontId="1" fillId="0" borderId="6" xfId="0" applyNumberFormat="1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6" xfId="0" applyNumberFormat="1" applyFont="1" applyFill="1" applyBorder="1" applyAlignment="1" applyProtection="1">
      <alignment vertical="center" wrapText="1"/>
    </xf>
    <xf numFmtId="49" fontId="1" fillId="0" borderId="14" xfId="0" applyNumberFormat="1" applyFont="1" applyFill="1" applyBorder="1" applyAlignment="1" applyProtection="1">
      <alignment vertical="center"/>
    </xf>
    <xf numFmtId="49" fontId="3" fillId="0" borderId="36" xfId="0" applyNumberFormat="1" applyFont="1" applyFill="1" applyBorder="1" applyAlignment="1" applyProtection="1">
      <alignment horizontal="center" vertical="center"/>
    </xf>
    <xf numFmtId="0" fontId="3" fillId="0" borderId="37" xfId="0" applyNumberFormat="1" applyFont="1" applyFill="1" applyBorder="1" applyAlignment="1" applyProtection="1">
      <alignment horizontal="center" vertical="center"/>
    </xf>
    <xf numFmtId="0" fontId="3" fillId="0" borderId="38" xfId="0" applyNumberFormat="1" applyFont="1" applyFill="1" applyBorder="1" applyAlignment="1" applyProtection="1">
      <alignment horizontal="center" vertical="center"/>
    </xf>
    <xf numFmtId="49" fontId="3" fillId="0" borderId="6" xfId="0" applyNumberFormat="1" applyFont="1" applyFill="1" applyBorder="1" applyAlignment="1" applyProtection="1">
      <alignment vertical="center"/>
    </xf>
    <xf numFmtId="0" fontId="1" fillId="0" borderId="39" xfId="0" applyNumberFormat="1" applyFont="1" applyFill="1" applyBorder="1" applyAlignment="1" applyProtection="1">
      <alignment vertical="center"/>
    </xf>
    <xf numFmtId="0" fontId="1" fillId="0" borderId="34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vertical="center"/>
    </xf>
    <xf numFmtId="0" fontId="1" fillId="0" borderId="40" xfId="0" applyNumberFormat="1" applyFont="1" applyFill="1" applyBorder="1" applyAlignment="1" applyProtection="1">
      <alignment vertical="center"/>
    </xf>
    <xf numFmtId="49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2" fillId="0" borderId="6" xfId="0" applyNumberFormat="1" applyFont="1" applyFill="1" applyBorder="1" applyAlignment="1" applyProtection="1">
      <alignment vertical="center" wrapText="1"/>
    </xf>
    <xf numFmtId="49" fontId="1" fillId="0" borderId="6" xfId="0" applyNumberFormat="1" applyFont="1" applyFill="1" applyBorder="1" applyAlignment="1" applyProtection="1">
      <alignment vertical="center"/>
    </xf>
    <xf numFmtId="0" fontId="1" fillId="0" borderId="14" xfId="0" applyNumberFormat="1" applyFont="1" applyFill="1" applyBorder="1" applyAlignment="1" applyProtection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000000"/>
      <rgbColor rgb="00DBDBDB"/>
      <rgbColor rgb="00000000"/>
      <rgbColor rgb="00C0C0C0"/>
      <rgbColor rgb="00000000"/>
      <rgbColor rgb="00C0C0C0"/>
      <rgbColor rgb="00000000"/>
      <rgbColor rgb="00000000"/>
      <rgbColor rgb="000080FF"/>
      <rgbColor rgb="00000000"/>
      <rgbColor rgb="00000000"/>
      <rgbColor rgb="000000FF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7"/>
  <sheetViews>
    <sheetView tabSelected="1" workbookViewId="0">
      <selection activeCell="J1" sqref="J1"/>
    </sheetView>
  </sheetViews>
  <sheetFormatPr defaultColWidth="11.5703125" defaultRowHeight="12.75"/>
  <cols>
    <col min="1" max="1" width="9.140625" customWidth="1"/>
    <col min="2" max="2" width="12.85546875" customWidth="1"/>
    <col min="3" max="3" width="22.85546875" customWidth="1"/>
    <col min="4" max="4" width="10" customWidth="1"/>
    <col min="5" max="5" width="14" customWidth="1"/>
    <col min="6" max="6" width="22.85546875" customWidth="1"/>
    <col min="7" max="7" width="9.140625" customWidth="1"/>
    <col min="8" max="8" width="12.85546875" customWidth="1"/>
    <col min="9" max="9" width="22.85546875" customWidth="1"/>
  </cols>
  <sheetData>
    <row r="1" spans="1:10" ht="72.95" customHeight="1">
      <c r="A1" s="56"/>
      <c r="B1" s="42"/>
      <c r="C1" s="99" t="s">
        <v>268</v>
      </c>
      <c r="D1" s="100"/>
      <c r="E1" s="100"/>
      <c r="F1" s="100"/>
      <c r="G1" s="100"/>
      <c r="H1" s="100"/>
      <c r="I1" s="100"/>
    </row>
    <row r="2" spans="1:10">
      <c r="A2" s="101" t="s">
        <v>1</v>
      </c>
      <c r="B2" s="102"/>
      <c r="C2" s="103" t="str">
        <f>'SO 001'!D2:D3</f>
        <v>Dlouhá Lhota - obnova vodovodních řadů v obci III.etapa</v>
      </c>
      <c r="D2" s="104"/>
      <c r="E2" s="106" t="s">
        <v>208</v>
      </c>
      <c r="F2" s="106" t="str">
        <f>'SO 001'!J2</f>
        <v>Obec Dlouhá Lhota</v>
      </c>
      <c r="G2" s="102"/>
      <c r="H2" s="106" t="s">
        <v>293</v>
      </c>
      <c r="I2" s="107" t="s">
        <v>297</v>
      </c>
      <c r="J2" s="1"/>
    </row>
    <row r="3" spans="1:10">
      <c r="A3" s="97"/>
      <c r="B3" s="72"/>
      <c r="C3" s="105"/>
      <c r="D3" s="105"/>
      <c r="E3" s="72"/>
      <c r="F3" s="72"/>
      <c r="G3" s="72"/>
      <c r="H3" s="72"/>
      <c r="I3" s="90"/>
      <c r="J3" s="1"/>
    </row>
    <row r="4" spans="1:10">
      <c r="A4" s="91" t="s">
        <v>2</v>
      </c>
      <c r="B4" s="72"/>
      <c r="C4" s="71" t="str">
        <f>'SO 001'!D4:D5</f>
        <v>obdnova vodovodu</v>
      </c>
      <c r="D4" s="72"/>
      <c r="E4" s="71" t="s">
        <v>209</v>
      </c>
      <c r="F4" s="71" t="s">
        <v>298</v>
      </c>
      <c r="G4" s="72"/>
      <c r="H4" s="71" t="s">
        <v>293</v>
      </c>
      <c r="I4" s="98"/>
      <c r="J4" s="1"/>
    </row>
    <row r="5" spans="1:10">
      <c r="A5" s="97"/>
      <c r="B5" s="72"/>
      <c r="C5" s="72"/>
      <c r="D5" s="72"/>
      <c r="E5" s="72"/>
      <c r="F5" s="72"/>
      <c r="G5" s="72"/>
      <c r="H5" s="72"/>
      <c r="I5" s="90"/>
      <c r="J5" s="1"/>
    </row>
    <row r="6" spans="1:10">
      <c r="A6" s="91" t="s">
        <v>3</v>
      </c>
      <c r="B6" s="72"/>
      <c r="C6" s="71" t="str">
        <f>'SO 001'!D6:D7</f>
        <v>Dlouhá Lhota okr. Tábor</v>
      </c>
      <c r="D6" s="72"/>
      <c r="E6" s="71" t="s">
        <v>210</v>
      </c>
      <c r="F6" s="71"/>
      <c r="G6" s="72"/>
      <c r="H6" s="71" t="s">
        <v>293</v>
      </c>
      <c r="I6" s="98"/>
      <c r="J6" s="1"/>
    </row>
    <row r="7" spans="1:10">
      <c r="A7" s="97"/>
      <c r="B7" s="72"/>
      <c r="C7" s="72"/>
      <c r="D7" s="72"/>
      <c r="E7" s="72"/>
      <c r="F7" s="72"/>
      <c r="G7" s="72"/>
      <c r="H7" s="72"/>
      <c r="I7" s="90"/>
      <c r="J7" s="1"/>
    </row>
    <row r="8" spans="1:10">
      <c r="A8" s="91" t="s">
        <v>192</v>
      </c>
      <c r="B8" s="72"/>
      <c r="C8" s="71"/>
      <c r="D8" s="72"/>
      <c r="E8" s="71" t="s">
        <v>193</v>
      </c>
      <c r="F8" s="71"/>
      <c r="G8" s="72"/>
      <c r="H8" s="94" t="s">
        <v>294</v>
      </c>
      <c r="I8" s="89">
        <v>70</v>
      </c>
      <c r="J8" s="1"/>
    </row>
    <row r="9" spans="1:10">
      <c r="A9" s="97"/>
      <c r="B9" s="72"/>
      <c r="C9" s="72"/>
      <c r="D9" s="72"/>
      <c r="E9" s="72"/>
      <c r="F9" s="72"/>
      <c r="G9" s="72"/>
      <c r="H9" s="72"/>
      <c r="I9" s="90"/>
      <c r="J9" s="1"/>
    </row>
    <row r="10" spans="1:10">
      <c r="A10" s="91" t="s">
        <v>4</v>
      </c>
      <c r="B10" s="72"/>
      <c r="C10" s="71"/>
      <c r="D10" s="72"/>
      <c r="E10" s="71" t="s">
        <v>211</v>
      </c>
      <c r="F10" s="71"/>
      <c r="G10" s="72"/>
      <c r="H10" s="94" t="s">
        <v>295</v>
      </c>
      <c r="I10" s="95">
        <v>44263</v>
      </c>
      <c r="J10" s="1"/>
    </row>
    <row r="11" spans="1:10">
      <c r="A11" s="92"/>
      <c r="B11" s="93"/>
      <c r="C11" s="93"/>
      <c r="D11" s="93"/>
      <c r="E11" s="93"/>
      <c r="F11" s="93"/>
      <c r="G11" s="93"/>
      <c r="H11" s="93"/>
      <c r="I11" s="96"/>
      <c r="J11" s="1"/>
    </row>
    <row r="12" spans="1:10" ht="23.45" customHeight="1">
      <c r="A12" s="85" t="s">
        <v>253</v>
      </c>
      <c r="B12" s="86"/>
      <c r="C12" s="86"/>
      <c r="D12" s="86"/>
      <c r="E12" s="86"/>
      <c r="F12" s="86"/>
      <c r="G12" s="86"/>
      <c r="H12" s="86"/>
      <c r="I12" s="86"/>
    </row>
    <row r="13" spans="1:10" ht="26.45" customHeight="1">
      <c r="A13" s="44" t="s">
        <v>254</v>
      </c>
      <c r="B13" s="87" t="s">
        <v>266</v>
      </c>
      <c r="C13" s="88"/>
      <c r="D13" s="44" t="s">
        <v>269</v>
      </c>
      <c r="E13" s="87" t="s">
        <v>278</v>
      </c>
      <c r="F13" s="88"/>
      <c r="G13" s="44" t="s">
        <v>279</v>
      </c>
      <c r="H13" s="87" t="s">
        <v>296</v>
      </c>
      <c r="I13" s="88"/>
      <c r="J13" s="1"/>
    </row>
    <row r="14" spans="1:10" ht="15.2" customHeight="1">
      <c r="A14" s="45" t="s">
        <v>255</v>
      </c>
      <c r="B14" s="49" t="s">
        <v>267</v>
      </c>
      <c r="C14" s="51">
        <f>'SO 001'!H12</f>
        <v>800</v>
      </c>
      <c r="D14" s="83" t="s">
        <v>270</v>
      </c>
      <c r="E14" s="84"/>
      <c r="F14" s="51">
        <v>0</v>
      </c>
      <c r="G14" s="83" t="s">
        <v>280</v>
      </c>
      <c r="H14" s="84"/>
      <c r="I14" s="51">
        <v>0</v>
      </c>
      <c r="J14" s="1"/>
    </row>
    <row r="15" spans="1:10" ht="15.2" customHeight="1">
      <c r="A15" s="46"/>
      <c r="B15" s="49" t="s">
        <v>212</v>
      </c>
      <c r="C15" s="51">
        <f>'SO 001'!I12</f>
        <v>-800</v>
      </c>
      <c r="D15" s="83" t="s">
        <v>271</v>
      </c>
      <c r="E15" s="84"/>
      <c r="F15" s="51">
        <v>0</v>
      </c>
      <c r="G15" s="83" t="s">
        <v>281</v>
      </c>
      <c r="H15" s="84"/>
      <c r="I15" s="51">
        <v>0</v>
      </c>
      <c r="J15" s="1"/>
    </row>
    <row r="16" spans="1:10" ht="15.2" customHeight="1">
      <c r="A16" s="45" t="s">
        <v>256</v>
      </c>
      <c r="B16" s="49" t="s">
        <v>267</v>
      </c>
      <c r="C16" s="51">
        <v>0</v>
      </c>
      <c r="D16" s="83" t="s">
        <v>272</v>
      </c>
      <c r="E16" s="84"/>
      <c r="F16" s="51">
        <v>0</v>
      </c>
      <c r="G16" s="83" t="s">
        <v>282</v>
      </c>
      <c r="H16" s="84"/>
      <c r="I16" s="51">
        <v>0</v>
      </c>
      <c r="J16" s="1"/>
    </row>
    <row r="17" spans="1:10" ht="15.2" customHeight="1">
      <c r="A17" s="46"/>
      <c r="B17" s="49" t="s">
        <v>212</v>
      </c>
      <c r="C17" s="51">
        <v>0</v>
      </c>
      <c r="D17" s="83"/>
      <c r="E17" s="84"/>
      <c r="F17" s="52"/>
      <c r="G17" s="83" t="s">
        <v>283</v>
      </c>
      <c r="H17" s="84"/>
      <c r="I17" s="51">
        <v>0</v>
      </c>
      <c r="J17" s="1"/>
    </row>
    <row r="18" spans="1:10" ht="15.2" customHeight="1">
      <c r="A18" s="45" t="s">
        <v>257</v>
      </c>
      <c r="B18" s="49" t="s">
        <v>267</v>
      </c>
      <c r="C18" s="51">
        <v>0</v>
      </c>
      <c r="D18" s="83"/>
      <c r="E18" s="84"/>
      <c r="F18" s="52"/>
      <c r="G18" s="83" t="s">
        <v>284</v>
      </c>
      <c r="H18" s="84"/>
      <c r="I18" s="51">
        <v>0</v>
      </c>
      <c r="J18" s="1"/>
    </row>
    <row r="19" spans="1:10" ht="15.2" customHeight="1">
      <c r="A19" s="46"/>
      <c r="B19" s="49" t="s">
        <v>212</v>
      </c>
      <c r="C19" s="51">
        <v>0</v>
      </c>
      <c r="D19" s="83"/>
      <c r="E19" s="84"/>
      <c r="F19" s="52"/>
      <c r="G19" s="83" t="s">
        <v>285</v>
      </c>
      <c r="H19" s="84"/>
      <c r="I19" s="51">
        <v>0</v>
      </c>
      <c r="J19" s="1"/>
    </row>
    <row r="20" spans="1:10" ht="15.2" customHeight="1">
      <c r="A20" s="81" t="s">
        <v>258</v>
      </c>
      <c r="B20" s="82"/>
      <c r="C20" s="51">
        <v>0</v>
      </c>
      <c r="D20" s="83"/>
      <c r="E20" s="84"/>
      <c r="F20" s="52"/>
      <c r="G20" s="83"/>
      <c r="H20" s="84"/>
      <c r="I20" s="52"/>
      <c r="J20" s="1"/>
    </row>
    <row r="21" spans="1:10" ht="15.2" customHeight="1">
      <c r="A21" s="81" t="s">
        <v>259</v>
      </c>
      <c r="B21" s="82"/>
      <c r="C21" s="51"/>
      <c r="D21" s="83"/>
      <c r="E21" s="84"/>
      <c r="F21" s="52"/>
      <c r="G21" s="83"/>
      <c r="H21" s="84"/>
      <c r="I21" s="52"/>
      <c r="J21" s="1"/>
    </row>
    <row r="22" spans="1:10" ht="16.7" customHeight="1">
      <c r="A22" s="81" t="s">
        <v>260</v>
      </c>
      <c r="B22" s="82"/>
      <c r="C22" s="51">
        <f>ROUND(SUM(C14:C21),2)</f>
        <v>0</v>
      </c>
      <c r="D22" s="81" t="s">
        <v>273</v>
      </c>
      <c r="E22" s="82"/>
      <c r="F22" s="51">
        <f>SUM(F14:F21)</f>
        <v>0</v>
      </c>
      <c r="G22" s="81" t="s">
        <v>286</v>
      </c>
      <c r="H22" s="82"/>
      <c r="I22" s="51">
        <f>SUM(I14:I21)</f>
        <v>0</v>
      </c>
      <c r="J22" s="1"/>
    </row>
    <row r="23" spans="1:10" ht="15.2" customHeight="1" thickBot="1">
      <c r="A23" s="9"/>
      <c r="B23" s="9"/>
      <c r="C23" s="29"/>
      <c r="D23" s="81" t="s">
        <v>274</v>
      </c>
      <c r="E23" s="82"/>
      <c r="F23" s="53">
        <v>0</v>
      </c>
      <c r="G23" s="81" t="s">
        <v>287</v>
      </c>
      <c r="H23" s="82"/>
      <c r="I23" s="51">
        <v>0</v>
      </c>
      <c r="J23" s="1"/>
    </row>
    <row r="24" spans="1:10" ht="15.2" customHeight="1">
      <c r="D24" s="9"/>
      <c r="E24" s="9"/>
      <c r="F24" s="54"/>
      <c r="G24" s="81" t="s">
        <v>288</v>
      </c>
      <c r="H24" s="82"/>
      <c r="I24" s="51">
        <v>0</v>
      </c>
      <c r="J24" s="1"/>
    </row>
    <row r="25" spans="1:10" ht="15.2" customHeight="1">
      <c r="F25" s="30"/>
      <c r="G25" s="81" t="s">
        <v>289</v>
      </c>
      <c r="H25" s="82"/>
      <c r="I25" s="51">
        <v>0</v>
      </c>
      <c r="J25" s="1"/>
    </row>
    <row r="26" spans="1:10">
      <c r="A26" s="42"/>
      <c r="B26" s="42"/>
      <c r="C26" s="42"/>
      <c r="G26" s="9"/>
      <c r="H26" s="9"/>
      <c r="I26" s="9"/>
    </row>
    <row r="27" spans="1:10" ht="15.2" customHeight="1">
      <c r="A27" s="79" t="s">
        <v>261</v>
      </c>
      <c r="B27" s="80"/>
      <c r="C27" s="55">
        <v>0</v>
      </c>
      <c r="D27" s="43"/>
      <c r="E27" s="42"/>
      <c r="F27" s="42"/>
      <c r="G27" s="42"/>
      <c r="H27" s="42"/>
      <c r="I27" s="42"/>
    </row>
    <row r="28" spans="1:10" ht="15.2" customHeight="1">
      <c r="A28" s="79" t="s">
        <v>262</v>
      </c>
      <c r="B28" s="80"/>
      <c r="C28" s="55">
        <v>0</v>
      </c>
      <c r="D28" s="79" t="s">
        <v>275</v>
      </c>
      <c r="E28" s="80"/>
      <c r="F28" s="55">
        <f>ROUND(C28*(15/100),2)</f>
        <v>0</v>
      </c>
      <c r="G28" s="79" t="s">
        <v>290</v>
      </c>
      <c r="H28" s="80"/>
      <c r="I28" s="55">
        <f>ROUND(SUM(C27:C29),2)</f>
        <v>0</v>
      </c>
      <c r="J28" s="1"/>
    </row>
    <row r="29" spans="1:10" ht="15.2" customHeight="1">
      <c r="A29" s="79" t="s">
        <v>263</v>
      </c>
      <c r="B29" s="80"/>
      <c r="C29" s="55">
        <f>C22+I24</f>
        <v>0</v>
      </c>
      <c r="D29" s="79" t="s">
        <v>276</v>
      </c>
      <c r="E29" s="80"/>
      <c r="F29" s="55">
        <f>ROUND(C29*(21/100),2)</f>
        <v>0</v>
      </c>
      <c r="G29" s="79" t="s">
        <v>291</v>
      </c>
      <c r="H29" s="80"/>
      <c r="I29" s="55">
        <f>ROUND(SUM(F28:F29)+I28,1)</f>
        <v>0</v>
      </c>
      <c r="J29" s="1"/>
    </row>
    <row r="30" spans="1:10" ht="13.5" thickBot="1">
      <c r="A30" s="47"/>
      <c r="B30" s="47"/>
      <c r="C30" s="47"/>
      <c r="D30" s="47"/>
      <c r="E30" s="47"/>
      <c r="F30" s="47"/>
      <c r="G30" s="47"/>
      <c r="H30" s="47"/>
      <c r="I30" s="47"/>
    </row>
    <row r="31" spans="1:10" ht="14.45" customHeight="1">
      <c r="A31" s="76" t="s">
        <v>264</v>
      </c>
      <c r="B31" s="77"/>
      <c r="C31" s="78"/>
      <c r="D31" s="76" t="s">
        <v>277</v>
      </c>
      <c r="E31" s="77"/>
      <c r="F31" s="78"/>
      <c r="G31" s="76" t="s">
        <v>292</v>
      </c>
      <c r="H31" s="77"/>
      <c r="I31" s="78"/>
      <c r="J31" s="36"/>
    </row>
    <row r="32" spans="1:10" ht="14.45" customHeight="1">
      <c r="A32" s="68"/>
      <c r="B32" s="69"/>
      <c r="C32" s="70"/>
      <c r="D32" s="68"/>
      <c r="E32" s="69"/>
      <c r="F32" s="70"/>
      <c r="G32" s="68"/>
      <c r="H32" s="69"/>
      <c r="I32" s="70"/>
      <c r="J32" s="36"/>
    </row>
    <row r="33" spans="1:10" ht="14.45" customHeight="1">
      <c r="A33" s="68"/>
      <c r="B33" s="69"/>
      <c r="C33" s="70"/>
      <c r="D33" s="68"/>
      <c r="E33" s="69"/>
      <c r="F33" s="70"/>
      <c r="G33" s="68"/>
      <c r="H33" s="69"/>
      <c r="I33" s="70"/>
      <c r="J33" s="36"/>
    </row>
    <row r="34" spans="1:10" ht="14.45" customHeight="1">
      <c r="A34" s="68"/>
      <c r="B34" s="69"/>
      <c r="C34" s="70"/>
      <c r="D34" s="68"/>
      <c r="E34" s="69"/>
      <c r="F34" s="70"/>
      <c r="G34" s="68"/>
      <c r="H34" s="69"/>
      <c r="I34" s="70"/>
      <c r="J34" s="36"/>
    </row>
    <row r="35" spans="1:10" ht="14.45" customHeight="1" thickBot="1">
      <c r="A35" s="73" t="s">
        <v>265</v>
      </c>
      <c r="B35" s="74"/>
      <c r="C35" s="75"/>
      <c r="D35" s="73" t="s">
        <v>265</v>
      </c>
      <c r="E35" s="74"/>
      <c r="F35" s="75"/>
      <c r="G35" s="73" t="s">
        <v>265</v>
      </c>
      <c r="H35" s="74"/>
      <c r="I35" s="75"/>
      <c r="J35" s="36"/>
    </row>
    <row r="36" spans="1:10" ht="11.25" customHeight="1">
      <c r="A36" s="48" t="s">
        <v>66</v>
      </c>
      <c r="B36" s="50"/>
      <c r="C36" s="50"/>
      <c r="D36" s="50"/>
      <c r="E36" s="50"/>
      <c r="F36" s="50"/>
      <c r="G36" s="50"/>
      <c r="H36" s="50"/>
      <c r="I36" s="50"/>
    </row>
    <row r="37" spans="1:10" ht="77.099999999999994" customHeight="1">
      <c r="A37" s="71" t="s">
        <v>67</v>
      </c>
      <c r="B37" s="72"/>
      <c r="C37" s="72"/>
      <c r="D37" s="72"/>
      <c r="E37" s="72"/>
      <c r="F37" s="72"/>
      <c r="G37" s="72"/>
      <c r="H37" s="72"/>
      <c r="I37" s="72"/>
    </row>
  </sheetData>
  <mergeCells count="83">
    <mergeCell ref="C1:I1"/>
    <mergeCell ref="A2:B3"/>
    <mergeCell ref="C2:D3"/>
    <mergeCell ref="E2:E3"/>
    <mergeCell ref="F2:G3"/>
    <mergeCell ref="H2:H3"/>
    <mergeCell ref="I2:I3"/>
    <mergeCell ref="I4:I5"/>
    <mergeCell ref="A6:B7"/>
    <mergeCell ref="C6:D7"/>
    <mergeCell ref="E6:E7"/>
    <mergeCell ref="F6:G7"/>
    <mergeCell ref="H6:H7"/>
    <mergeCell ref="I6:I7"/>
    <mergeCell ref="A4:B5"/>
    <mergeCell ref="C4:D5"/>
    <mergeCell ref="E4:E5"/>
    <mergeCell ref="F4:G5"/>
    <mergeCell ref="H4:H5"/>
    <mergeCell ref="I8:I9"/>
    <mergeCell ref="A10:B11"/>
    <mergeCell ref="C10:D11"/>
    <mergeCell ref="E10:E11"/>
    <mergeCell ref="F10:G11"/>
    <mergeCell ref="H10:H11"/>
    <mergeCell ref="I10:I11"/>
    <mergeCell ref="A8:B9"/>
    <mergeCell ref="C8:D9"/>
    <mergeCell ref="E8:E9"/>
    <mergeCell ref="F8:G9"/>
    <mergeCell ref="H8:H9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D23:E23"/>
    <mergeCell ref="G23:H23"/>
    <mergeCell ref="G24:H24"/>
    <mergeCell ref="G25:H25"/>
    <mergeCell ref="A27:B27"/>
    <mergeCell ref="A28:B28"/>
    <mergeCell ref="D28:E28"/>
    <mergeCell ref="G28:H28"/>
    <mergeCell ref="A29:B29"/>
    <mergeCell ref="D29:E29"/>
    <mergeCell ref="G29:H29"/>
    <mergeCell ref="A31:C31"/>
    <mergeCell ref="D31:F31"/>
    <mergeCell ref="G31:I31"/>
    <mergeCell ref="A32:C32"/>
    <mergeCell ref="D32:F32"/>
    <mergeCell ref="G32:I32"/>
    <mergeCell ref="A33:C33"/>
    <mergeCell ref="D33:F33"/>
    <mergeCell ref="G33:I33"/>
    <mergeCell ref="A37:I37"/>
    <mergeCell ref="A34:C34"/>
    <mergeCell ref="D34:F34"/>
    <mergeCell ref="G34:I34"/>
    <mergeCell ref="A35:C35"/>
    <mergeCell ref="D35:F35"/>
    <mergeCell ref="G35:I35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V173"/>
  <sheetViews>
    <sheetView topLeftCell="A151" workbookViewId="0">
      <selection activeCell="G171" sqref="G171"/>
    </sheetView>
  </sheetViews>
  <sheetFormatPr defaultColWidth="11.5703125" defaultRowHeight="12.75"/>
  <cols>
    <col min="1" max="1" width="3.7109375" customWidth="1"/>
    <col min="2" max="2" width="7.140625" customWidth="1"/>
    <col min="3" max="3" width="16.5703125" customWidth="1"/>
    <col min="4" max="4" width="82.140625" customWidth="1"/>
    <col min="5" max="5" width="4.28515625" customWidth="1"/>
    <col min="6" max="6" width="12.85546875" customWidth="1"/>
    <col min="7" max="7" width="12" customWidth="1"/>
    <col min="8" max="10" width="14.28515625" customWidth="1"/>
    <col min="11" max="13" width="11.7109375" customWidth="1"/>
    <col min="14" max="14" width="11.5703125" hidden="1" customWidth="1"/>
    <col min="15" max="48" width="12.140625" hidden="1" customWidth="1"/>
    <col min="49" max="49" width="0" hidden="1" customWidth="1"/>
  </cols>
  <sheetData>
    <row r="1" spans="1:48" ht="72.95" customHeight="1">
      <c r="A1" s="116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</row>
    <row r="2" spans="1:48">
      <c r="A2" s="101" t="s">
        <v>1</v>
      </c>
      <c r="B2" s="102"/>
      <c r="C2" s="102"/>
      <c r="D2" s="118" t="s">
        <v>339</v>
      </c>
      <c r="E2" s="119" t="s">
        <v>191</v>
      </c>
      <c r="F2" s="102"/>
      <c r="G2" s="119" t="s">
        <v>6</v>
      </c>
      <c r="H2" s="102"/>
      <c r="I2" s="106" t="s">
        <v>208</v>
      </c>
      <c r="J2" s="106" t="s">
        <v>213</v>
      </c>
      <c r="K2" s="102"/>
      <c r="L2" s="102"/>
      <c r="M2" s="120"/>
      <c r="N2" s="1"/>
    </row>
    <row r="3" spans="1:48">
      <c r="A3" s="97"/>
      <c r="B3" s="72"/>
      <c r="C3" s="72"/>
      <c r="D3" s="105"/>
      <c r="E3" s="72"/>
      <c r="F3" s="72"/>
      <c r="G3" s="72"/>
      <c r="H3" s="72"/>
      <c r="I3" s="72"/>
      <c r="J3" s="72"/>
      <c r="K3" s="72"/>
      <c r="L3" s="72"/>
      <c r="M3" s="90"/>
      <c r="N3" s="1"/>
    </row>
    <row r="4" spans="1:48">
      <c r="A4" s="91" t="s">
        <v>2</v>
      </c>
      <c r="B4" s="72"/>
      <c r="C4" s="72"/>
      <c r="D4" s="71" t="s">
        <v>126</v>
      </c>
      <c r="E4" s="94" t="s">
        <v>192</v>
      </c>
      <c r="F4" s="72"/>
      <c r="G4" s="94"/>
      <c r="H4" s="72"/>
      <c r="I4" s="71" t="s">
        <v>209</v>
      </c>
      <c r="J4" s="71" t="str">
        <f>'Krycí list rozpočtu celkový'!F4</f>
        <v>Ing. Pavel Douša</v>
      </c>
      <c r="K4" s="72"/>
      <c r="L4" s="72"/>
      <c r="M4" s="90"/>
      <c r="N4" s="1"/>
    </row>
    <row r="5" spans="1:48">
      <c r="A5" s="97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90"/>
      <c r="N5" s="1"/>
    </row>
    <row r="6" spans="1:48">
      <c r="A6" s="91" t="s">
        <v>3</v>
      </c>
      <c r="B6" s="72"/>
      <c r="C6" s="72"/>
      <c r="D6" s="71" t="s">
        <v>127</v>
      </c>
      <c r="E6" s="94" t="s">
        <v>193</v>
      </c>
      <c r="F6" s="72"/>
      <c r="G6" s="94" t="s">
        <v>6</v>
      </c>
      <c r="H6" s="72"/>
      <c r="I6" s="71" t="s">
        <v>210</v>
      </c>
      <c r="J6" s="71" t="s">
        <v>6</v>
      </c>
      <c r="K6" s="72"/>
      <c r="L6" s="72"/>
      <c r="M6" s="90"/>
      <c r="N6" s="1"/>
    </row>
    <row r="7" spans="1:48">
      <c r="A7" s="97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90"/>
      <c r="N7" s="1"/>
    </row>
    <row r="8" spans="1:48">
      <c r="A8" s="91" t="s">
        <v>4</v>
      </c>
      <c r="B8" s="72"/>
      <c r="C8" s="72"/>
      <c r="D8" s="71" t="s">
        <v>6</v>
      </c>
      <c r="E8" s="94" t="s">
        <v>194</v>
      </c>
      <c r="F8" s="72"/>
      <c r="G8" s="114" t="s">
        <v>340</v>
      </c>
      <c r="H8" s="72"/>
      <c r="I8" s="71" t="s">
        <v>211</v>
      </c>
      <c r="J8" s="71" t="s">
        <v>6</v>
      </c>
      <c r="K8" s="72"/>
      <c r="L8" s="72"/>
      <c r="M8" s="90"/>
      <c r="N8" s="1"/>
    </row>
    <row r="9" spans="1:48" ht="13.5" thickBot="1">
      <c r="A9" s="112"/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5"/>
      <c r="N9" s="1"/>
    </row>
    <row r="10" spans="1:48">
      <c r="A10" s="2" t="s">
        <v>5</v>
      </c>
      <c r="B10" s="11" t="s">
        <v>68</v>
      </c>
      <c r="C10" s="11" t="s">
        <v>72</v>
      </c>
      <c r="D10" s="11" t="s">
        <v>128</v>
      </c>
      <c r="E10" s="11" t="s">
        <v>195</v>
      </c>
      <c r="F10" s="17" t="s">
        <v>202</v>
      </c>
      <c r="G10" s="22" t="s">
        <v>203</v>
      </c>
      <c r="H10" s="108" t="s">
        <v>205</v>
      </c>
      <c r="I10" s="109"/>
      <c r="J10" s="110"/>
      <c r="K10" s="108" t="s">
        <v>215</v>
      </c>
      <c r="L10" s="110"/>
      <c r="M10" s="31" t="s">
        <v>216</v>
      </c>
      <c r="N10" s="36"/>
    </row>
    <row r="11" spans="1:48" ht="13.5" thickBot="1">
      <c r="A11" s="3" t="s">
        <v>6</v>
      </c>
      <c r="B11" s="12" t="s">
        <v>6</v>
      </c>
      <c r="C11" s="12" t="s">
        <v>6</v>
      </c>
      <c r="D11" s="15" t="s">
        <v>129</v>
      </c>
      <c r="E11" s="12" t="s">
        <v>6</v>
      </c>
      <c r="F11" s="12" t="s">
        <v>6</v>
      </c>
      <c r="G11" s="23" t="s">
        <v>204</v>
      </c>
      <c r="H11" s="24" t="s">
        <v>206</v>
      </c>
      <c r="I11" s="25" t="s">
        <v>212</v>
      </c>
      <c r="J11" s="26" t="s">
        <v>214</v>
      </c>
      <c r="K11" s="24" t="s">
        <v>203</v>
      </c>
      <c r="L11" s="26" t="s">
        <v>214</v>
      </c>
      <c r="M11" s="32" t="s">
        <v>217</v>
      </c>
      <c r="N11" s="36"/>
      <c r="P11" s="28" t="s">
        <v>218</v>
      </c>
      <c r="Q11" s="28" t="s">
        <v>219</v>
      </c>
      <c r="R11" s="28" t="s">
        <v>220</v>
      </c>
      <c r="S11" s="28" t="s">
        <v>221</v>
      </c>
      <c r="T11" s="28" t="s">
        <v>222</v>
      </c>
      <c r="U11" s="28" t="s">
        <v>223</v>
      </c>
      <c r="V11" s="28" t="s">
        <v>224</v>
      </c>
      <c r="W11" s="28" t="s">
        <v>225</v>
      </c>
      <c r="X11" s="28" t="s">
        <v>226</v>
      </c>
    </row>
    <row r="12" spans="1:48">
      <c r="A12" s="4"/>
      <c r="B12" s="13"/>
      <c r="C12" s="13"/>
      <c r="D12" s="57" t="s">
        <v>321</v>
      </c>
      <c r="E12" s="4" t="s">
        <v>6</v>
      </c>
      <c r="F12" s="4" t="s">
        <v>6</v>
      </c>
      <c r="G12" s="4" t="s">
        <v>6</v>
      </c>
      <c r="H12" s="39">
        <f>H13+H20+H24+H28+H37+H44+H51+H62+H76+H139+H144+H154+H166</f>
        <v>800</v>
      </c>
      <c r="I12" s="39">
        <f>I13+I20+I24+I28+I37+I44+I51+I62+I76+I139+I144+I154+I166</f>
        <v>-800</v>
      </c>
      <c r="J12" s="39">
        <f>H12+I12</f>
        <v>0</v>
      </c>
      <c r="K12" s="27"/>
      <c r="L12" s="39">
        <f>L13+L20+L24+L28+L37+L44+L51+L62+L76+L139+L144+L154</f>
        <v>53.608412000000001</v>
      </c>
      <c r="M12" s="27"/>
    </row>
    <row r="13" spans="1:48">
      <c r="A13" s="5"/>
      <c r="B13" s="14"/>
      <c r="C13" s="14" t="s">
        <v>73</v>
      </c>
      <c r="D13" s="14" t="s">
        <v>130</v>
      </c>
      <c r="E13" s="5" t="s">
        <v>6</v>
      </c>
      <c r="F13" s="5" t="s">
        <v>6</v>
      </c>
      <c r="G13" s="5" t="s">
        <v>6</v>
      </c>
      <c r="H13" s="40">
        <f>SUM(H14:H18)</f>
        <v>0</v>
      </c>
      <c r="I13" s="40">
        <f>SUM(I14:I18)</f>
        <v>0</v>
      </c>
      <c r="J13" s="40">
        <f>H13+I13</f>
        <v>0</v>
      </c>
      <c r="K13" s="28"/>
      <c r="L13" s="40">
        <f>SUM(L14:L18)</f>
        <v>0</v>
      </c>
      <c r="M13" s="28"/>
      <c r="Y13" s="28" t="s">
        <v>69</v>
      </c>
      <c r="AI13" s="40">
        <f>SUM(Z14:Z18)</f>
        <v>0</v>
      </c>
      <c r="AJ13" s="40">
        <f>SUM(AA14:AA18)</f>
        <v>0</v>
      </c>
      <c r="AK13" s="40">
        <f>SUM(AB14:AB18)</f>
        <v>0</v>
      </c>
    </row>
    <row r="14" spans="1:48">
      <c r="A14" s="6" t="s">
        <v>7</v>
      </c>
      <c r="B14" s="6"/>
      <c r="C14" s="6" t="s">
        <v>74</v>
      </c>
      <c r="D14" s="6" t="s">
        <v>131</v>
      </c>
      <c r="E14" s="6" t="s">
        <v>196</v>
      </c>
      <c r="F14" s="18">
        <f>SUM(F15:F17)</f>
        <v>93</v>
      </c>
      <c r="G14" s="18">
        <v>0</v>
      </c>
      <c r="H14" s="18">
        <f>F14*AE14</f>
        <v>0</v>
      </c>
      <c r="I14" s="18">
        <f>J14-H14</f>
        <v>0</v>
      </c>
      <c r="J14" s="18">
        <f>F14*G14</f>
        <v>0</v>
      </c>
      <c r="K14" s="18">
        <v>0</v>
      </c>
      <c r="L14" s="18">
        <f>F14*K14</f>
        <v>0</v>
      </c>
      <c r="M14" s="33" t="s">
        <v>303</v>
      </c>
      <c r="P14" s="37">
        <f>IF(AG14="5",J14,0)</f>
        <v>0</v>
      </c>
      <c r="R14" s="37">
        <f>IF(AG14="1",H14,0)</f>
        <v>0</v>
      </c>
      <c r="S14" s="37">
        <f>IF(AG14="1",I14,0)</f>
        <v>0</v>
      </c>
      <c r="T14" s="37">
        <f>IF(AG14="7",H14,0)</f>
        <v>0</v>
      </c>
      <c r="U14" s="37">
        <f>IF(AG14="7",I14,0)</f>
        <v>0</v>
      </c>
      <c r="V14" s="37">
        <f>IF(AG14="2",H14,0)</f>
        <v>0</v>
      </c>
      <c r="W14" s="37">
        <f>IF(AG14="2",I14,0)</f>
        <v>0</v>
      </c>
      <c r="X14" s="37">
        <f>IF(AG14="0",J14,0)</f>
        <v>0</v>
      </c>
      <c r="Y14" s="28" t="s">
        <v>69</v>
      </c>
      <c r="Z14" s="18">
        <f>IF(AD14=0,J14,0)</f>
        <v>0</v>
      </c>
      <c r="AA14" s="18">
        <f>IF(AD14=15,J14,0)</f>
        <v>0</v>
      </c>
      <c r="AB14" s="18">
        <f>IF(AD14=21,J14,0)</f>
        <v>0</v>
      </c>
      <c r="AD14" s="37">
        <v>21</v>
      </c>
      <c r="AE14" s="37">
        <f>G14*0.765957446808511</f>
        <v>0</v>
      </c>
      <c r="AF14" s="37">
        <f>G14*(1-0.765957446808511)</f>
        <v>0</v>
      </c>
      <c r="AG14" s="33" t="s">
        <v>7</v>
      </c>
      <c r="AM14" s="37">
        <f>F14*AE14</f>
        <v>0</v>
      </c>
      <c r="AN14" s="37">
        <f>F14*AF14</f>
        <v>0</v>
      </c>
      <c r="AO14" s="38" t="s">
        <v>227</v>
      </c>
      <c r="AP14" s="38" t="s">
        <v>242</v>
      </c>
      <c r="AQ14" s="28" t="s">
        <v>250</v>
      </c>
      <c r="AS14" s="37">
        <f>AM14+AN14</f>
        <v>0</v>
      </c>
      <c r="AT14" s="37">
        <f>G14/(100-AU14)*100</f>
        <v>0</v>
      </c>
      <c r="AU14" s="37">
        <v>0</v>
      </c>
      <c r="AV14" s="37">
        <f>L14</f>
        <v>0</v>
      </c>
    </row>
    <row r="15" spans="1:48">
      <c r="D15" s="16" t="s">
        <v>304</v>
      </c>
      <c r="F15" s="19">
        <f>(1+8)*2</f>
        <v>18</v>
      </c>
    </row>
    <row r="16" spans="1:48">
      <c r="D16" s="16" t="s">
        <v>305</v>
      </c>
      <c r="F16" s="19">
        <f>13*((1+1.5)*2)</f>
        <v>65</v>
      </c>
    </row>
    <row r="17" spans="1:48">
      <c r="D17" s="16" t="s">
        <v>299</v>
      </c>
      <c r="F17" s="19">
        <f>(2.5+2.5)*2</f>
        <v>10</v>
      </c>
    </row>
    <row r="18" spans="1:48">
      <c r="A18" s="6" t="s">
        <v>8</v>
      </c>
      <c r="B18" s="6"/>
      <c r="C18" s="6" t="s">
        <v>75</v>
      </c>
      <c r="D18" s="6" t="s">
        <v>132</v>
      </c>
      <c r="E18" s="6" t="s">
        <v>197</v>
      </c>
      <c r="F18" s="18">
        <f>SUM(F19)</f>
        <v>366</v>
      </c>
      <c r="G18" s="18">
        <v>0</v>
      </c>
      <c r="H18" s="18">
        <f>F18*AE18</f>
        <v>0</v>
      </c>
      <c r="I18" s="18">
        <f>J18-H18</f>
        <v>0</v>
      </c>
      <c r="J18" s="18">
        <f>F18*G18</f>
        <v>0</v>
      </c>
      <c r="K18" s="18">
        <v>0</v>
      </c>
      <c r="L18" s="18">
        <f>F18*K18</f>
        <v>0</v>
      </c>
      <c r="M18" s="33" t="s">
        <v>303</v>
      </c>
      <c r="P18" s="37">
        <f>IF(AG18="5",J18,0)</f>
        <v>0</v>
      </c>
      <c r="R18" s="37">
        <f>IF(AG18="1",H18,0)</f>
        <v>0</v>
      </c>
      <c r="S18" s="37">
        <f>IF(AG18="1",I18,0)</f>
        <v>0</v>
      </c>
      <c r="T18" s="37">
        <f>IF(AG18="7",H18,0)</f>
        <v>0</v>
      </c>
      <c r="U18" s="37">
        <f>IF(AG18="7",I18,0)</f>
        <v>0</v>
      </c>
      <c r="V18" s="37">
        <f>IF(AG18="2",H18,0)</f>
        <v>0</v>
      </c>
      <c r="W18" s="37">
        <f>IF(AG18="2",I18,0)</f>
        <v>0</v>
      </c>
      <c r="X18" s="37">
        <f>IF(AG18="0",J18,0)</f>
        <v>0</v>
      </c>
      <c r="Y18" s="28" t="s">
        <v>69</v>
      </c>
      <c r="Z18" s="18">
        <f>IF(AD18=0,J18,0)</f>
        <v>0</v>
      </c>
      <c r="AA18" s="18">
        <f>IF(AD18=15,J18,0)</f>
        <v>0</v>
      </c>
      <c r="AB18" s="18">
        <f>IF(AD18=21,J18,0)</f>
        <v>0</v>
      </c>
      <c r="AD18" s="37">
        <v>21</v>
      </c>
      <c r="AE18" s="37">
        <f>G18*0.4</f>
        <v>0</v>
      </c>
      <c r="AF18" s="37">
        <f>G18*(1-0.4)</f>
        <v>0</v>
      </c>
      <c r="AG18" s="33" t="s">
        <v>7</v>
      </c>
      <c r="AM18" s="37">
        <f>F18*AE18</f>
        <v>0</v>
      </c>
      <c r="AN18" s="37">
        <f>F18*AF18</f>
        <v>0</v>
      </c>
      <c r="AO18" s="38" t="s">
        <v>227</v>
      </c>
      <c r="AP18" s="38" t="s">
        <v>242</v>
      </c>
      <c r="AQ18" s="28" t="s">
        <v>250</v>
      </c>
      <c r="AS18" s="37">
        <f>AM18+AN18</f>
        <v>0</v>
      </c>
      <c r="AT18" s="37">
        <f>G18/(100-AU18)*100</f>
        <v>0</v>
      </c>
      <c r="AU18" s="37">
        <v>0</v>
      </c>
      <c r="AV18" s="37">
        <f>L18</f>
        <v>0</v>
      </c>
    </row>
    <row r="19" spans="1:48">
      <c r="D19" s="16" t="s">
        <v>300</v>
      </c>
      <c r="F19" s="19">
        <f>244*1.5</f>
        <v>366</v>
      </c>
    </row>
    <row r="20" spans="1:48">
      <c r="A20" s="5"/>
      <c r="B20" s="14"/>
      <c r="C20" s="14" t="s">
        <v>17</v>
      </c>
      <c r="D20" s="14" t="s">
        <v>133</v>
      </c>
      <c r="E20" s="5" t="s">
        <v>6</v>
      </c>
      <c r="F20" s="5" t="s">
        <v>6</v>
      </c>
      <c r="G20" s="5" t="s">
        <v>6</v>
      </c>
      <c r="H20" s="40">
        <f>SUM(H21:H21)</f>
        <v>0</v>
      </c>
      <c r="I20" s="40">
        <f>SUM(I21:I21)</f>
        <v>0</v>
      </c>
      <c r="J20" s="40">
        <f>H20+I20</f>
        <v>0</v>
      </c>
      <c r="K20" s="28"/>
      <c r="L20" s="40">
        <f>SUM(L21:L21)</f>
        <v>0</v>
      </c>
      <c r="M20" s="28"/>
      <c r="Y20" s="28" t="s">
        <v>69</v>
      </c>
      <c r="AI20" s="40">
        <f>SUM(Z21:Z21)</f>
        <v>0</v>
      </c>
      <c r="AJ20" s="40">
        <f>SUM(AA21:AA21)</f>
        <v>0</v>
      </c>
      <c r="AK20" s="40">
        <f>SUM(AB21:AB21)</f>
        <v>0</v>
      </c>
    </row>
    <row r="21" spans="1:48">
      <c r="A21" s="6" t="s">
        <v>9</v>
      </c>
      <c r="B21" s="6"/>
      <c r="C21" s="6" t="s">
        <v>76</v>
      </c>
      <c r="D21" s="6" t="s">
        <v>134</v>
      </c>
      <c r="E21" s="6" t="s">
        <v>197</v>
      </c>
      <c r="F21" s="18">
        <f>SUM(F22:F23)</f>
        <v>25.75</v>
      </c>
      <c r="G21" s="18">
        <v>0</v>
      </c>
      <c r="H21" s="18">
        <f>F21*AE21</f>
        <v>0</v>
      </c>
      <c r="I21" s="18">
        <f>J21-H21</f>
        <v>0</v>
      </c>
      <c r="J21" s="18">
        <f>F21*G21</f>
        <v>0</v>
      </c>
      <c r="K21" s="18">
        <v>0</v>
      </c>
      <c r="L21" s="18">
        <f>F21*K21</f>
        <v>0</v>
      </c>
      <c r="M21" s="33" t="s">
        <v>303</v>
      </c>
      <c r="P21" s="37">
        <f>IF(AG21="5",J21,0)</f>
        <v>0</v>
      </c>
      <c r="R21" s="37">
        <f>IF(AG21="1",H21,0)</f>
        <v>0</v>
      </c>
      <c r="S21" s="37">
        <f>IF(AG21="1",I21,0)</f>
        <v>0</v>
      </c>
      <c r="T21" s="37">
        <f>IF(AG21="7",H21,0)</f>
        <v>0</v>
      </c>
      <c r="U21" s="37">
        <f>IF(AG21="7",I21,0)</f>
        <v>0</v>
      </c>
      <c r="V21" s="37">
        <f>IF(AG21="2",H21,0)</f>
        <v>0</v>
      </c>
      <c r="W21" s="37">
        <f>IF(AG21="2",I21,0)</f>
        <v>0</v>
      </c>
      <c r="X21" s="37">
        <f>IF(AG21="0",J21,0)</f>
        <v>0</v>
      </c>
      <c r="Y21" s="28" t="s">
        <v>69</v>
      </c>
      <c r="Z21" s="18">
        <f>IF(AD21=0,J21,0)</f>
        <v>0</v>
      </c>
      <c r="AA21" s="18">
        <f>IF(AD21=15,J21,0)</f>
        <v>0</v>
      </c>
      <c r="AB21" s="18">
        <f>IF(AD21=21,J21,0)</f>
        <v>0</v>
      </c>
      <c r="AD21" s="37">
        <v>21</v>
      </c>
      <c r="AE21" s="37">
        <f>G21*0.00846857142857143</f>
        <v>0</v>
      </c>
      <c r="AF21" s="37">
        <f>G21*(1-0.00846857142857143)</f>
        <v>0</v>
      </c>
      <c r="AG21" s="33" t="s">
        <v>7</v>
      </c>
      <c r="AM21" s="37">
        <f>F21*AE21</f>
        <v>0</v>
      </c>
      <c r="AN21" s="37">
        <f>F21*AF21</f>
        <v>0</v>
      </c>
      <c r="AO21" s="38" t="s">
        <v>228</v>
      </c>
      <c r="AP21" s="38" t="s">
        <v>243</v>
      </c>
      <c r="AQ21" s="28" t="s">
        <v>250</v>
      </c>
      <c r="AS21" s="37">
        <f>AM21+AN21</f>
        <v>0</v>
      </c>
      <c r="AT21" s="37">
        <f>G21/(100-AU21)*100</f>
        <v>0</v>
      </c>
      <c r="AU21" s="37">
        <v>0</v>
      </c>
      <c r="AV21" s="37">
        <f>L21</f>
        <v>0</v>
      </c>
    </row>
    <row r="22" spans="1:48">
      <c r="D22" s="16" t="s">
        <v>306</v>
      </c>
      <c r="F22" s="19">
        <f>13*1*1.5</f>
        <v>19.5</v>
      </c>
    </row>
    <row r="23" spans="1:48">
      <c r="D23" s="16" t="s">
        <v>301</v>
      </c>
      <c r="F23" s="19">
        <f>2.5*2.5</f>
        <v>6.25</v>
      </c>
    </row>
    <row r="24" spans="1:48">
      <c r="A24" s="5"/>
      <c r="B24" s="14"/>
      <c r="C24" s="14" t="s">
        <v>18</v>
      </c>
      <c r="D24" s="14" t="s">
        <v>135</v>
      </c>
      <c r="E24" s="5" t="s">
        <v>6</v>
      </c>
      <c r="F24" s="5" t="s">
        <v>6</v>
      </c>
      <c r="G24" s="5" t="s">
        <v>6</v>
      </c>
      <c r="H24" s="40">
        <f>SUM(H25:H27)</f>
        <v>0</v>
      </c>
      <c r="I24" s="40">
        <f>SUM(I25:I27)</f>
        <v>0</v>
      </c>
      <c r="J24" s="40">
        <f>H24+I24</f>
        <v>0</v>
      </c>
      <c r="K24" s="28"/>
      <c r="L24" s="40">
        <f>SUM(L25:L27)</f>
        <v>0</v>
      </c>
      <c r="M24" s="28"/>
      <c r="Y24" s="28" t="s">
        <v>69</v>
      </c>
      <c r="AI24" s="40">
        <f>SUM(Z25:Z27)</f>
        <v>0</v>
      </c>
      <c r="AJ24" s="40">
        <f>SUM(AA25:AA27)</f>
        <v>0</v>
      </c>
      <c r="AK24" s="40">
        <f>SUM(AB25:AB27)</f>
        <v>0</v>
      </c>
    </row>
    <row r="25" spans="1:48">
      <c r="A25" s="6" t="s">
        <v>10</v>
      </c>
      <c r="B25" s="6"/>
      <c r="C25" s="6" t="s">
        <v>77</v>
      </c>
      <c r="D25" s="6" t="s">
        <v>136</v>
      </c>
      <c r="E25" s="6" t="s">
        <v>198</v>
      </c>
      <c r="F25" s="18">
        <f>SUM(F26:F27)</f>
        <v>10.3</v>
      </c>
      <c r="G25" s="18">
        <v>0</v>
      </c>
      <c r="H25" s="18">
        <f>F25*AE25</f>
        <v>0</v>
      </c>
      <c r="I25" s="18">
        <f>J25-H25</f>
        <v>0</v>
      </c>
      <c r="J25" s="18">
        <f>F25*G25</f>
        <v>0</v>
      </c>
      <c r="K25" s="18">
        <v>0</v>
      </c>
      <c r="L25" s="18">
        <f>F25*K25</f>
        <v>0</v>
      </c>
      <c r="M25" s="33" t="s">
        <v>303</v>
      </c>
      <c r="P25" s="37">
        <f>IF(AG25="5",J25,0)</f>
        <v>0</v>
      </c>
      <c r="R25" s="37">
        <f>IF(AG25="1",H25,0)</f>
        <v>0</v>
      </c>
      <c r="S25" s="37">
        <f>IF(AG25="1",I25,0)</f>
        <v>0</v>
      </c>
      <c r="T25" s="37">
        <f>IF(AG25="7",H25,0)</f>
        <v>0</v>
      </c>
      <c r="U25" s="37">
        <f>IF(AG25="7",I25,0)</f>
        <v>0</v>
      </c>
      <c r="V25" s="37">
        <f>IF(AG25="2",H25,0)</f>
        <v>0</v>
      </c>
      <c r="W25" s="37">
        <f>IF(AG25="2",I25,0)</f>
        <v>0</v>
      </c>
      <c r="X25" s="37">
        <f>IF(AG25="0",J25,0)</f>
        <v>0</v>
      </c>
      <c r="Y25" s="28" t="s">
        <v>69</v>
      </c>
      <c r="Z25" s="18">
        <f>IF(AD25=0,J25,0)</f>
        <v>0</v>
      </c>
      <c r="AA25" s="18">
        <f>IF(AD25=15,J25,0)</f>
        <v>0</v>
      </c>
      <c r="AB25" s="18">
        <f>IF(AD25=21,J25,0)</f>
        <v>0</v>
      </c>
      <c r="AD25" s="37">
        <v>21</v>
      </c>
      <c r="AE25" s="37">
        <f>G25*0</f>
        <v>0</v>
      </c>
      <c r="AF25" s="37">
        <f>G25*(1-0)</f>
        <v>0</v>
      </c>
      <c r="AG25" s="33" t="s">
        <v>7</v>
      </c>
      <c r="AM25" s="37">
        <f>F25*AE25</f>
        <v>0</v>
      </c>
      <c r="AN25" s="37">
        <f>F25*AF25</f>
        <v>0</v>
      </c>
      <c r="AO25" s="38" t="s">
        <v>229</v>
      </c>
      <c r="AP25" s="38" t="s">
        <v>243</v>
      </c>
      <c r="AQ25" s="28" t="s">
        <v>250</v>
      </c>
      <c r="AS25" s="37">
        <f>AM25+AN25</f>
        <v>0</v>
      </c>
      <c r="AT25" s="37">
        <f>G25/(100-AU25)*100</f>
        <v>0</v>
      </c>
      <c r="AU25" s="37">
        <v>0</v>
      </c>
      <c r="AV25" s="37">
        <f>L25</f>
        <v>0</v>
      </c>
    </row>
    <row r="26" spans="1:48">
      <c r="D26" s="16" t="s">
        <v>307</v>
      </c>
      <c r="F26" s="19">
        <f>13*1*1.5*0.4</f>
        <v>7.8000000000000007</v>
      </c>
    </row>
    <row r="27" spans="1:48">
      <c r="D27" s="16" t="s">
        <v>302</v>
      </c>
      <c r="F27" s="19">
        <f>2.5*2.5*0.4</f>
        <v>2.5</v>
      </c>
    </row>
    <row r="28" spans="1:48">
      <c r="A28" s="5"/>
      <c r="B28" s="14"/>
      <c r="C28" s="14" t="s">
        <v>19</v>
      </c>
      <c r="D28" s="14" t="s">
        <v>137</v>
      </c>
      <c r="E28" s="5" t="s">
        <v>6</v>
      </c>
      <c r="F28" s="5" t="s">
        <v>6</v>
      </c>
      <c r="G28" s="5" t="s">
        <v>6</v>
      </c>
      <c r="H28" s="40">
        <f>SUM(H29:H35)</f>
        <v>0</v>
      </c>
      <c r="I28" s="40">
        <f>SUM(I29:I35)</f>
        <v>0</v>
      </c>
      <c r="J28" s="40">
        <f>H28+I28</f>
        <v>0</v>
      </c>
      <c r="K28" s="28"/>
      <c r="L28" s="40">
        <f>SUM(L29:L35)</f>
        <v>0</v>
      </c>
      <c r="M28" s="28"/>
      <c r="Y28" s="28" t="s">
        <v>69</v>
      </c>
      <c r="AI28" s="40">
        <f>SUM(Z29:Z35)</f>
        <v>0</v>
      </c>
      <c r="AJ28" s="40">
        <f>SUM(AA29:AA35)</f>
        <v>0</v>
      </c>
      <c r="AK28" s="40">
        <f>SUM(AB29:AB35)</f>
        <v>0</v>
      </c>
    </row>
    <row r="29" spans="1:48">
      <c r="A29" s="59" t="s">
        <v>11</v>
      </c>
      <c r="B29" s="6"/>
      <c r="C29" s="6" t="s">
        <v>78</v>
      </c>
      <c r="D29" s="6" t="s">
        <v>138</v>
      </c>
      <c r="E29" s="6" t="s">
        <v>198</v>
      </c>
      <c r="F29" s="18">
        <f>F30</f>
        <v>6.0750000000000002</v>
      </c>
      <c r="G29" s="18">
        <v>0</v>
      </c>
      <c r="H29" s="18">
        <f>F29*AE29</f>
        <v>0</v>
      </c>
      <c r="I29" s="18">
        <f>J29-H29</f>
        <v>0</v>
      </c>
      <c r="J29" s="18">
        <f>F29*G29</f>
        <v>0</v>
      </c>
      <c r="K29" s="18">
        <v>0</v>
      </c>
      <c r="L29" s="18">
        <f>F29*K29</f>
        <v>0</v>
      </c>
      <c r="M29" s="33" t="s">
        <v>303</v>
      </c>
      <c r="P29" s="37">
        <f>IF(AG29="5",J29,0)</f>
        <v>0</v>
      </c>
      <c r="R29" s="37">
        <f>IF(AG29="1",H29,0)</f>
        <v>0</v>
      </c>
      <c r="S29" s="37">
        <f>IF(AG29="1",I29,0)</f>
        <v>0</v>
      </c>
      <c r="T29" s="37">
        <f>IF(AG29="7",H29,0)</f>
        <v>0</v>
      </c>
      <c r="U29" s="37">
        <f>IF(AG29="7",I29,0)</f>
        <v>0</v>
      </c>
      <c r="V29" s="37">
        <f>IF(AG29="2",H29,0)</f>
        <v>0</v>
      </c>
      <c r="W29" s="37">
        <f>IF(AG29="2",I29,0)</f>
        <v>0</v>
      </c>
      <c r="X29" s="37">
        <f>IF(AG29="0",J29,0)</f>
        <v>0</v>
      </c>
      <c r="Y29" s="28" t="s">
        <v>69</v>
      </c>
      <c r="Z29" s="18">
        <f>IF(AD29=0,J29,0)</f>
        <v>0</v>
      </c>
      <c r="AA29" s="18">
        <f>IF(AD29=15,J29,0)</f>
        <v>0</v>
      </c>
      <c r="AB29" s="18">
        <f>IF(AD29=21,J29,0)</f>
        <v>0</v>
      </c>
      <c r="AD29" s="37">
        <v>21</v>
      </c>
      <c r="AE29" s="37">
        <f>G29*0</f>
        <v>0</v>
      </c>
      <c r="AF29" s="37">
        <f>G29*(1-0)</f>
        <v>0</v>
      </c>
      <c r="AG29" s="33" t="s">
        <v>7</v>
      </c>
      <c r="AM29" s="37">
        <f>F29*AE29</f>
        <v>0</v>
      </c>
      <c r="AN29" s="37">
        <f>F29*AF29</f>
        <v>0</v>
      </c>
      <c r="AO29" s="38" t="s">
        <v>230</v>
      </c>
      <c r="AP29" s="38" t="s">
        <v>243</v>
      </c>
      <c r="AQ29" s="28" t="s">
        <v>250</v>
      </c>
      <c r="AS29" s="37">
        <f>AM29+AN29</f>
        <v>0</v>
      </c>
      <c r="AT29" s="37">
        <f>G29/(100-AU29)*100</f>
        <v>0</v>
      </c>
      <c r="AU29" s="37">
        <v>0</v>
      </c>
      <c r="AV29" s="37">
        <f>L29</f>
        <v>0</v>
      </c>
    </row>
    <row r="30" spans="1:48">
      <c r="D30" s="16" t="s">
        <v>311</v>
      </c>
      <c r="F30" s="19">
        <f>F31*0.15</f>
        <v>6.0750000000000002</v>
      </c>
    </row>
    <row r="31" spans="1:48">
      <c r="A31" s="59" t="s">
        <v>12</v>
      </c>
      <c r="B31" s="6"/>
      <c r="C31" s="6" t="s">
        <v>79</v>
      </c>
      <c r="D31" s="6" t="s">
        <v>139</v>
      </c>
      <c r="E31" s="6" t="s">
        <v>198</v>
      </c>
      <c r="F31" s="18">
        <f>SUM(F32:F34)</f>
        <v>40.5</v>
      </c>
      <c r="G31" s="18">
        <v>0</v>
      </c>
      <c r="H31" s="18">
        <f>F31*AE31</f>
        <v>0</v>
      </c>
      <c r="I31" s="18">
        <f>J31-H31</f>
        <v>0</v>
      </c>
      <c r="J31" s="18">
        <f>F31*G31</f>
        <v>0</v>
      </c>
      <c r="K31" s="18">
        <v>0</v>
      </c>
      <c r="L31" s="18">
        <f>F31*K31</f>
        <v>0</v>
      </c>
      <c r="M31" s="33" t="s">
        <v>303</v>
      </c>
      <c r="P31" s="37">
        <f>IF(AG31="5",J31,0)</f>
        <v>0</v>
      </c>
      <c r="R31" s="37">
        <f>IF(AG31="1",H31,0)</f>
        <v>0</v>
      </c>
      <c r="S31" s="37">
        <f>IF(AG31="1",I31,0)</f>
        <v>0</v>
      </c>
      <c r="T31" s="37">
        <f>IF(AG31="7",H31,0)</f>
        <v>0</v>
      </c>
      <c r="U31" s="37">
        <f>IF(AG31="7",I31,0)</f>
        <v>0</v>
      </c>
      <c r="V31" s="37">
        <f>IF(AG31="2",H31,0)</f>
        <v>0</v>
      </c>
      <c r="W31" s="37">
        <f>IF(AG31="2",I31,0)</f>
        <v>0</v>
      </c>
      <c r="X31" s="37">
        <f>IF(AG31="0",J31,0)</f>
        <v>0</v>
      </c>
      <c r="Y31" s="28" t="s">
        <v>69</v>
      </c>
      <c r="Z31" s="18">
        <f>IF(AD31=0,J31,0)</f>
        <v>0</v>
      </c>
      <c r="AA31" s="18">
        <f>IF(AD31=15,J31,0)</f>
        <v>0</v>
      </c>
      <c r="AB31" s="18">
        <f>IF(AD31=21,J31,0)</f>
        <v>0</v>
      </c>
      <c r="AD31" s="37">
        <v>21</v>
      </c>
      <c r="AE31" s="37">
        <f>G31*0</f>
        <v>0</v>
      </c>
      <c r="AF31" s="37">
        <f>G31*(1-0)</f>
        <v>0</v>
      </c>
      <c r="AG31" s="33" t="s">
        <v>7</v>
      </c>
      <c r="AM31" s="37">
        <f>F31*AE31</f>
        <v>0</v>
      </c>
      <c r="AN31" s="37">
        <f>F31*AF31</f>
        <v>0</v>
      </c>
      <c r="AO31" s="38" t="s">
        <v>230</v>
      </c>
      <c r="AP31" s="38" t="s">
        <v>243</v>
      </c>
      <c r="AQ31" s="28" t="s">
        <v>250</v>
      </c>
      <c r="AS31" s="37">
        <f>AM31+AN31</f>
        <v>0</v>
      </c>
      <c r="AT31" s="37">
        <f>G31/(100-AU31)*100</f>
        <v>0</v>
      </c>
      <c r="AU31" s="37">
        <v>0</v>
      </c>
      <c r="AV31" s="37">
        <f>L31</f>
        <v>0</v>
      </c>
    </row>
    <row r="32" spans="1:48">
      <c r="D32" s="16" t="s">
        <v>308</v>
      </c>
      <c r="F32" s="19">
        <f>1*8*1.2</f>
        <v>9.6</v>
      </c>
    </row>
    <row r="33" spans="1:48">
      <c r="D33" s="16" t="s">
        <v>309</v>
      </c>
      <c r="F33" s="19">
        <f>13*1*1.5*1.2</f>
        <v>23.4</v>
      </c>
    </row>
    <row r="34" spans="1:48">
      <c r="D34" s="16" t="s">
        <v>310</v>
      </c>
      <c r="F34" s="19">
        <f>2.5*2.5*1.2</f>
        <v>7.5</v>
      </c>
    </row>
    <row r="35" spans="1:48">
      <c r="A35" s="59" t="s">
        <v>13</v>
      </c>
      <c r="B35" s="6"/>
      <c r="C35" s="6" t="s">
        <v>80</v>
      </c>
      <c r="D35" s="6" t="s">
        <v>140</v>
      </c>
      <c r="E35" s="6" t="s">
        <v>198</v>
      </c>
      <c r="F35" s="18">
        <f>F36</f>
        <v>40.5</v>
      </c>
      <c r="G35" s="18">
        <v>0</v>
      </c>
      <c r="H35" s="18">
        <f>F35*AE35</f>
        <v>0</v>
      </c>
      <c r="I35" s="18">
        <f>J35-H35</f>
        <v>0</v>
      </c>
      <c r="J35" s="18">
        <f>F35*G35</f>
        <v>0</v>
      </c>
      <c r="K35" s="18">
        <v>0</v>
      </c>
      <c r="L35" s="18">
        <f>F35*K35</f>
        <v>0</v>
      </c>
      <c r="M35" s="33" t="s">
        <v>303</v>
      </c>
      <c r="P35" s="37">
        <f>IF(AG35="5",J35,0)</f>
        <v>0</v>
      </c>
      <c r="R35" s="37">
        <f>IF(AG35="1",H35,0)</f>
        <v>0</v>
      </c>
      <c r="S35" s="37">
        <f>IF(AG35="1",I35,0)</f>
        <v>0</v>
      </c>
      <c r="T35" s="37">
        <f>IF(AG35="7",H35,0)</f>
        <v>0</v>
      </c>
      <c r="U35" s="37">
        <f>IF(AG35="7",I35,0)</f>
        <v>0</v>
      </c>
      <c r="V35" s="37">
        <f>IF(AG35="2",H35,0)</f>
        <v>0</v>
      </c>
      <c r="W35" s="37">
        <f>IF(AG35="2",I35,0)</f>
        <v>0</v>
      </c>
      <c r="X35" s="37">
        <f>IF(AG35="0",J35,0)</f>
        <v>0</v>
      </c>
      <c r="Y35" s="28" t="s">
        <v>69</v>
      </c>
      <c r="Z35" s="18">
        <f>IF(AD35=0,J35,0)</f>
        <v>0</v>
      </c>
      <c r="AA35" s="18">
        <f>IF(AD35=15,J35,0)</f>
        <v>0</v>
      </c>
      <c r="AB35" s="18">
        <f>IF(AD35=21,J35,0)</f>
        <v>0</v>
      </c>
      <c r="AD35" s="37">
        <v>21</v>
      </c>
      <c r="AE35" s="37">
        <f>G35*0</f>
        <v>0</v>
      </c>
      <c r="AF35" s="37">
        <f>G35*(1-0)</f>
        <v>0</v>
      </c>
      <c r="AG35" s="33" t="s">
        <v>7</v>
      </c>
      <c r="AM35" s="37">
        <f>F35*AE35</f>
        <v>0</v>
      </c>
      <c r="AN35" s="37">
        <f>F35*AF35</f>
        <v>0</v>
      </c>
      <c r="AO35" s="38" t="s">
        <v>230</v>
      </c>
      <c r="AP35" s="38" t="s">
        <v>243</v>
      </c>
      <c r="AQ35" s="28" t="s">
        <v>250</v>
      </c>
      <c r="AS35" s="37">
        <f>AM35+AN35</f>
        <v>0</v>
      </c>
      <c r="AT35" s="37">
        <f>G35/(100-AU35)*100</f>
        <v>0</v>
      </c>
      <c r="AU35" s="37">
        <v>0</v>
      </c>
      <c r="AV35" s="37">
        <f>L35</f>
        <v>0</v>
      </c>
    </row>
    <row r="36" spans="1:48">
      <c r="D36" s="16" t="s">
        <v>312</v>
      </c>
      <c r="F36" s="19">
        <f>F31</f>
        <v>40.5</v>
      </c>
    </row>
    <row r="37" spans="1:48">
      <c r="A37" s="5"/>
      <c r="B37" s="14"/>
      <c r="C37" s="14" t="s">
        <v>20</v>
      </c>
      <c r="D37" s="14" t="s">
        <v>141</v>
      </c>
      <c r="E37" s="5" t="s">
        <v>6</v>
      </c>
      <c r="F37" s="5" t="s">
        <v>6</v>
      </c>
      <c r="G37" s="5" t="s">
        <v>6</v>
      </c>
      <c r="H37" s="40">
        <f>SUM(H38:H43)</f>
        <v>0</v>
      </c>
      <c r="I37" s="40">
        <f>SUM(I38:I43)</f>
        <v>0</v>
      </c>
      <c r="J37" s="40">
        <f>H37+I37</f>
        <v>0</v>
      </c>
      <c r="K37" s="28"/>
      <c r="L37" s="40">
        <f>SUM(L38:L43)</f>
        <v>1.69824</v>
      </c>
      <c r="M37" s="28"/>
      <c r="Y37" s="28" t="s">
        <v>69</v>
      </c>
      <c r="AI37" s="40">
        <f>SUM(Z38:Z43)</f>
        <v>0</v>
      </c>
      <c r="AJ37" s="40">
        <f>SUM(AA38:AA43)</f>
        <v>0</v>
      </c>
      <c r="AK37" s="40">
        <f>SUM(AB38:AB43)</f>
        <v>0</v>
      </c>
    </row>
    <row r="38" spans="1:48">
      <c r="A38" s="59" t="s">
        <v>14</v>
      </c>
      <c r="B38" s="6"/>
      <c r="C38" s="6" t="s">
        <v>313</v>
      </c>
      <c r="D38" s="6" t="s">
        <v>314</v>
      </c>
      <c r="E38" s="6" t="s">
        <v>196</v>
      </c>
      <c r="F38" s="18">
        <v>244</v>
      </c>
      <c r="G38" s="18">
        <v>0</v>
      </c>
      <c r="H38" s="18">
        <f>F38*AE38</f>
        <v>0</v>
      </c>
      <c r="I38" s="18">
        <f>J38-H38</f>
        <v>0</v>
      </c>
      <c r="J38" s="18">
        <f>F38*G38</f>
        <v>0</v>
      </c>
      <c r="K38" s="18">
        <v>3.48E-3</v>
      </c>
      <c r="L38" s="18">
        <f>F38*K38</f>
        <v>0.84911999999999999</v>
      </c>
      <c r="M38" s="33" t="s">
        <v>303</v>
      </c>
      <c r="P38" s="37">
        <f>IF(AG38="5",J38,0)</f>
        <v>0</v>
      </c>
      <c r="R38" s="37">
        <f>IF(AG38="1",H38,0)</f>
        <v>0</v>
      </c>
      <c r="S38" s="37">
        <f>IF(AG38="1",I38,0)</f>
        <v>0</v>
      </c>
      <c r="T38" s="37">
        <f>IF(AG38="7",H38,0)</f>
        <v>0</v>
      </c>
      <c r="U38" s="37">
        <f>IF(AG38="7",I38,0)</f>
        <v>0</v>
      </c>
      <c r="V38" s="37">
        <f>IF(AG38="2",H38,0)</f>
        <v>0</v>
      </c>
      <c r="W38" s="37">
        <f>IF(AG38="2",I38,0)</f>
        <v>0</v>
      </c>
      <c r="X38" s="37">
        <f>IF(AG38="0",J38,0)</f>
        <v>0</v>
      </c>
      <c r="Y38" s="28" t="s">
        <v>69</v>
      </c>
      <c r="Z38" s="18">
        <f>IF(AD38=0,J38,0)</f>
        <v>0</v>
      </c>
      <c r="AA38" s="18">
        <f>IF(AD38=15,J38,0)</f>
        <v>0</v>
      </c>
      <c r="AB38" s="18">
        <f>IF(AD38=21,J38,0)</f>
        <v>0</v>
      </c>
      <c r="AD38" s="37">
        <v>21</v>
      </c>
      <c r="AE38" s="37">
        <f>G38*0.00619804494518717</f>
        <v>0</v>
      </c>
      <c r="AF38" s="37">
        <f>G38*(1-0.00619804494518717)</f>
        <v>0</v>
      </c>
      <c r="AG38" s="33" t="s">
        <v>7</v>
      </c>
      <c r="AM38" s="37">
        <f>F38*AE38</f>
        <v>0</v>
      </c>
      <c r="AN38" s="37">
        <f>F38*AF38</f>
        <v>0</v>
      </c>
      <c r="AO38" s="38" t="s">
        <v>231</v>
      </c>
      <c r="AP38" s="38" t="s">
        <v>243</v>
      </c>
      <c r="AQ38" s="28" t="s">
        <v>250</v>
      </c>
      <c r="AS38" s="37">
        <f>AM38+AN38</f>
        <v>0</v>
      </c>
      <c r="AT38" s="37">
        <f>G38/(100-AU38)*100</f>
        <v>0</v>
      </c>
      <c r="AU38" s="37">
        <v>0</v>
      </c>
      <c r="AV38" s="37">
        <f>L38</f>
        <v>0.84911999999999999</v>
      </c>
    </row>
    <row r="39" spans="1:48">
      <c r="D39" s="16" t="s">
        <v>315</v>
      </c>
      <c r="F39" s="19">
        <v>244</v>
      </c>
    </row>
    <row r="40" spans="1:48">
      <c r="A40" s="59" t="s">
        <v>15</v>
      </c>
      <c r="C40" t="s">
        <v>319</v>
      </c>
      <c r="D40" s="7" t="s">
        <v>320</v>
      </c>
      <c r="E40" t="s">
        <v>196</v>
      </c>
      <c r="F40" s="19">
        <v>244</v>
      </c>
      <c r="G40" s="18">
        <v>0</v>
      </c>
      <c r="H40" s="18">
        <f>F40*AE40</f>
        <v>0</v>
      </c>
      <c r="I40" s="18">
        <f>J40-H40</f>
        <v>0</v>
      </c>
      <c r="J40" s="18">
        <f>F40*G40</f>
        <v>0</v>
      </c>
      <c r="K40" s="18">
        <v>3.48E-3</v>
      </c>
      <c r="L40" s="18">
        <f>F40*K40</f>
        <v>0.84911999999999999</v>
      </c>
      <c r="M40" s="33" t="s">
        <v>303</v>
      </c>
    </row>
    <row r="41" spans="1:48">
      <c r="A41" s="62" t="s">
        <v>16</v>
      </c>
      <c r="B41" s="7"/>
      <c r="C41" s="7" t="s">
        <v>317</v>
      </c>
      <c r="D41" s="7" t="s">
        <v>316</v>
      </c>
      <c r="E41" s="7" t="s">
        <v>196</v>
      </c>
      <c r="F41" s="20">
        <f>F42*1.053</f>
        <v>256.93199999999996</v>
      </c>
      <c r="G41" s="20">
        <v>0</v>
      </c>
      <c r="H41" s="20">
        <f>F41*AE41</f>
        <v>0</v>
      </c>
      <c r="I41" s="20">
        <f>J41-H41</f>
        <v>0</v>
      </c>
      <c r="J41" s="20">
        <f>F41*G41</f>
        <v>0</v>
      </c>
      <c r="K41" s="20">
        <v>0</v>
      </c>
      <c r="L41" s="20">
        <f>F41*K41</f>
        <v>0</v>
      </c>
      <c r="M41" s="33" t="s">
        <v>303</v>
      </c>
      <c r="P41" s="37">
        <f>IF(AG41="5",J41,0)</f>
        <v>0</v>
      </c>
      <c r="R41" s="37">
        <f>IF(AG41="1",H41,0)</f>
        <v>0</v>
      </c>
      <c r="S41" s="37">
        <f>IF(AG41="1",I41,0)</f>
        <v>0</v>
      </c>
      <c r="T41" s="37">
        <f>IF(AG41="7",H41,0)</f>
        <v>0</v>
      </c>
      <c r="U41" s="37">
        <f>IF(AG41="7",I41,0)</f>
        <v>0</v>
      </c>
      <c r="V41" s="37">
        <f>IF(AG41="2",H41,0)</f>
        <v>0</v>
      </c>
      <c r="W41" s="37">
        <f>IF(AG41="2",I41,0)</f>
        <v>0</v>
      </c>
      <c r="X41" s="37">
        <f>IF(AG41="0",J41,0)</f>
        <v>0</v>
      </c>
      <c r="Y41" s="28" t="s">
        <v>69</v>
      </c>
      <c r="Z41" s="20">
        <f>IF(AD41=0,J41,0)</f>
        <v>0</v>
      </c>
      <c r="AA41" s="20">
        <f>IF(AD41=15,J41,0)</f>
        <v>0</v>
      </c>
      <c r="AB41" s="20">
        <f>IF(AD41=21,J41,0)</f>
        <v>0</v>
      </c>
      <c r="AD41" s="37">
        <v>21</v>
      </c>
      <c r="AE41" s="37">
        <f>G41*1</f>
        <v>0</v>
      </c>
      <c r="AF41" s="37">
        <f>G41*(1-1)</f>
        <v>0</v>
      </c>
      <c r="AG41" s="34" t="s">
        <v>7</v>
      </c>
      <c r="AM41" s="37">
        <f>F41*AE41</f>
        <v>0</v>
      </c>
      <c r="AN41" s="37">
        <f>F41*AF41</f>
        <v>0</v>
      </c>
      <c r="AO41" s="38" t="s">
        <v>231</v>
      </c>
      <c r="AP41" s="38" t="s">
        <v>243</v>
      </c>
      <c r="AQ41" s="28" t="s">
        <v>250</v>
      </c>
      <c r="AS41" s="37">
        <f>AM41+AN41</f>
        <v>0</v>
      </c>
      <c r="AT41" s="37">
        <f>G41/(100-AU41)*100</f>
        <v>0</v>
      </c>
      <c r="AU41" s="37">
        <v>0</v>
      </c>
      <c r="AV41" s="37">
        <f>L41</f>
        <v>0</v>
      </c>
    </row>
    <row r="42" spans="1:48">
      <c r="D42" s="16" t="s">
        <v>315</v>
      </c>
      <c r="F42" s="19">
        <v>244</v>
      </c>
    </row>
    <row r="43" spans="1:48">
      <c r="D43" s="16" t="s">
        <v>318</v>
      </c>
      <c r="F43" s="19"/>
    </row>
    <row r="44" spans="1:48">
      <c r="A44" s="5"/>
      <c r="B44" s="14"/>
      <c r="C44" s="14" t="s">
        <v>21</v>
      </c>
      <c r="D44" s="14" t="s">
        <v>142</v>
      </c>
      <c r="E44" s="5" t="s">
        <v>6</v>
      </c>
      <c r="F44" s="5" t="s">
        <v>6</v>
      </c>
      <c r="G44" s="5" t="s">
        <v>6</v>
      </c>
      <c r="H44" s="40">
        <f>SUM(H45:H49)</f>
        <v>0</v>
      </c>
      <c r="I44" s="40">
        <f>SUM(I45:I49)</f>
        <v>0</v>
      </c>
      <c r="J44" s="40">
        <f>H44+I44</f>
        <v>0</v>
      </c>
      <c r="K44" s="28"/>
      <c r="L44" s="40">
        <f>SUM(L45:L49)</f>
        <v>0.147312</v>
      </c>
      <c r="M44" s="28"/>
      <c r="Y44" s="28" t="s">
        <v>69</v>
      </c>
      <c r="AI44" s="40">
        <f>SUM(Z45:Z49)</f>
        <v>0</v>
      </c>
      <c r="AJ44" s="40">
        <f>SUM(AA45:AA49)</f>
        <v>0</v>
      </c>
      <c r="AK44" s="40">
        <f>SUM(AB45:AB49)</f>
        <v>0</v>
      </c>
    </row>
    <row r="45" spans="1:48">
      <c r="A45" s="59" t="s">
        <v>17</v>
      </c>
      <c r="B45" s="6"/>
      <c r="C45" s="6" t="s">
        <v>81</v>
      </c>
      <c r="D45" s="6" t="s">
        <v>143</v>
      </c>
      <c r="E45" s="6" t="s">
        <v>197</v>
      </c>
      <c r="F45" s="18">
        <f>SUM(F46:F48)</f>
        <v>148.80000000000001</v>
      </c>
      <c r="G45" s="18">
        <v>0</v>
      </c>
      <c r="H45" s="18">
        <f>F45*AE45</f>
        <v>0</v>
      </c>
      <c r="I45" s="18">
        <f>J45-H45</f>
        <v>0</v>
      </c>
      <c r="J45" s="18">
        <f>F45*G45</f>
        <v>0</v>
      </c>
      <c r="K45" s="18">
        <v>9.8999999999999999E-4</v>
      </c>
      <c r="L45" s="18">
        <f>F45*K45</f>
        <v>0.147312</v>
      </c>
      <c r="M45" s="33" t="s">
        <v>303</v>
      </c>
      <c r="P45" s="37">
        <f>IF(AG45="5",J45,0)</f>
        <v>0</v>
      </c>
      <c r="R45" s="37">
        <f>IF(AG45="1",H45,0)</f>
        <v>0</v>
      </c>
      <c r="S45" s="37">
        <f>IF(AG45="1",I45,0)</f>
        <v>0</v>
      </c>
      <c r="T45" s="37">
        <f>IF(AG45="7",H45,0)</f>
        <v>0</v>
      </c>
      <c r="U45" s="37">
        <f>IF(AG45="7",I45,0)</f>
        <v>0</v>
      </c>
      <c r="V45" s="37">
        <f>IF(AG45="2",H45,0)</f>
        <v>0</v>
      </c>
      <c r="W45" s="37">
        <f>IF(AG45="2",I45,0)</f>
        <v>0</v>
      </c>
      <c r="X45" s="37">
        <f>IF(AG45="0",J45,0)</f>
        <v>0</v>
      </c>
      <c r="Y45" s="28" t="s">
        <v>69</v>
      </c>
      <c r="Z45" s="18">
        <f>IF(AD45=0,J45,0)</f>
        <v>0</v>
      </c>
      <c r="AA45" s="18">
        <f>IF(AD45=15,J45,0)</f>
        <v>0</v>
      </c>
      <c r="AB45" s="18">
        <f>IF(AD45=21,J45,0)</f>
        <v>0</v>
      </c>
      <c r="AD45" s="37">
        <v>21</v>
      </c>
      <c r="AE45" s="37">
        <f>G45*0.0964319248826291</f>
        <v>0</v>
      </c>
      <c r="AF45" s="37">
        <f>G45*(1-0.0964319248826291)</f>
        <v>0</v>
      </c>
      <c r="AG45" s="33" t="s">
        <v>7</v>
      </c>
      <c r="AM45" s="37">
        <f>F45*AE45</f>
        <v>0</v>
      </c>
      <c r="AN45" s="37">
        <f>F45*AF45</f>
        <v>0</v>
      </c>
      <c r="AO45" s="38" t="s">
        <v>232</v>
      </c>
      <c r="AP45" s="38" t="s">
        <v>243</v>
      </c>
      <c r="AQ45" s="28" t="s">
        <v>250</v>
      </c>
      <c r="AS45" s="37">
        <f>AM45+AN45</f>
        <v>0</v>
      </c>
      <c r="AT45" s="37">
        <f>G45/(100-AU45)*100</f>
        <v>0</v>
      </c>
      <c r="AU45" s="37">
        <v>0</v>
      </c>
      <c r="AV45" s="37">
        <f>L45</f>
        <v>0.147312</v>
      </c>
    </row>
    <row r="46" spans="1:48">
      <c r="D46" s="58" t="s">
        <v>328</v>
      </c>
      <c r="F46" s="19">
        <f>(1+8)*2*1.6</f>
        <v>28.8</v>
      </c>
    </row>
    <row r="47" spans="1:48">
      <c r="D47" s="58" t="s">
        <v>329</v>
      </c>
      <c r="F47" s="19">
        <f>13*((1+1.5)*2*1.6)</f>
        <v>104</v>
      </c>
    </row>
    <row r="48" spans="1:48">
      <c r="D48" s="58" t="s">
        <v>330</v>
      </c>
      <c r="F48" s="19">
        <f>(2.5+2.5)*2*1.6</f>
        <v>16</v>
      </c>
    </row>
    <row r="49" spans="1:48">
      <c r="A49" s="59" t="s">
        <v>18</v>
      </c>
      <c r="B49" s="6"/>
      <c r="C49" s="59" t="s">
        <v>82</v>
      </c>
      <c r="D49" s="6" t="s">
        <v>144</v>
      </c>
      <c r="E49" s="6" t="s">
        <v>197</v>
      </c>
      <c r="F49" s="18">
        <f>F50</f>
        <v>148.80000000000001</v>
      </c>
      <c r="G49" s="18">
        <v>0</v>
      </c>
      <c r="H49" s="18">
        <f>F49*AE49</f>
        <v>0</v>
      </c>
      <c r="I49" s="18">
        <f>J49-H49</f>
        <v>0</v>
      </c>
      <c r="J49" s="18">
        <f>F49*G49</f>
        <v>0</v>
      </c>
      <c r="K49" s="18">
        <v>0</v>
      </c>
      <c r="L49" s="18">
        <f>F49*K49</f>
        <v>0</v>
      </c>
      <c r="M49" s="33" t="s">
        <v>303</v>
      </c>
      <c r="P49" s="37">
        <f>IF(AG49="5",J49,0)</f>
        <v>0</v>
      </c>
      <c r="R49" s="37">
        <f>IF(AG49="1",H49,0)</f>
        <v>0</v>
      </c>
      <c r="S49" s="37">
        <f>IF(AG49="1",I49,0)</f>
        <v>0</v>
      </c>
      <c r="T49" s="37">
        <f>IF(AG49="7",H49,0)</f>
        <v>0</v>
      </c>
      <c r="U49" s="37">
        <f>IF(AG49="7",I49,0)</f>
        <v>0</v>
      </c>
      <c r="V49" s="37">
        <f>IF(AG49="2",H49,0)</f>
        <v>0</v>
      </c>
      <c r="W49" s="37">
        <f>IF(AG49="2",I49,0)</f>
        <v>0</v>
      </c>
      <c r="X49" s="37">
        <f>IF(AG49="0",J49,0)</f>
        <v>0</v>
      </c>
      <c r="Y49" s="28" t="s">
        <v>69</v>
      </c>
      <c r="Z49" s="18">
        <f>IF(AD49=0,J49,0)</f>
        <v>0</v>
      </c>
      <c r="AA49" s="18">
        <f>IF(AD49=15,J49,0)</f>
        <v>0</v>
      </c>
      <c r="AB49" s="18">
        <f>IF(AD49=21,J49,0)</f>
        <v>0</v>
      </c>
      <c r="AD49" s="37">
        <v>21</v>
      </c>
      <c r="AE49" s="37">
        <f>G49*0</f>
        <v>0</v>
      </c>
      <c r="AF49" s="37">
        <f>G49*(1-0)</f>
        <v>0</v>
      </c>
      <c r="AG49" s="33" t="s">
        <v>7</v>
      </c>
      <c r="AM49" s="37">
        <f>F49*AE49</f>
        <v>0</v>
      </c>
      <c r="AN49" s="37">
        <f>F49*AF49</f>
        <v>0</v>
      </c>
      <c r="AO49" s="38" t="s">
        <v>232</v>
      </c>
      <c r="AP49" s="38" t="s">
        <v>243</v>
      </c>
      <c r="AQ49" s="28" t="s">
        <v>250</v>
      </c>
      <c r="AS49" s="37">
        <f>AM49+AN49</f>
        <v>0</v>
      </c>
      <c r="AT49" s="37">
        <f>G49/(100-AU49)*100</f>
        <v>0</v>
      </c>
      <c r="AU49" s="37">
        <v>0</v>
      </c>
      <c r="AV49" s="37">
        <f>L49</f>
        <v>0</v>
      </c>
    </row>
    <row r="50" spans="1:48">
      <c r="D50" s="58" t="s">
        <v>322</v>
      </c>
      <c r="F50" s="19">
        <f>F45</f>
        <v>148.80000000000001</v>
      </c>
    </row>
    <row r="51" spans="1:48">
      <c r="A51" s="5"/>
      <c r="B51" s="14"/>
      <c r="C51" s="14" t="s">
        <v>22</v>
      </c>
      <c r="D51" s="14" t="s">
        <v>145</v>
      </c>
      <c r="E51" s="5" t="s">
        <v>6</v>
      </c>
      <c r="F51" s="5" t="s">
        <v>6</v>
      </c>
      <c r="G51" s="5" t="s">
        <v>6</v>
      </c>
      <c r="H51" s="40">
        <f>SUM(H52:H60)</f>
        <v>0</v>
      </c>
      <c r="I51" s="40">
        <f>SUM(I52:I60)</f>
        <v>0</v>
      </c>
      <c r="J51" s="40">
        <f>H51+I51</f>
        <v>0</v>
      </c>
      <c r="K51" s="28"/>
      <c r="L51" s="40">
        <f>SUM(L52:L60)</f>
        <v>0</v>
      </c>
      <c r="M51" s="28"/>
      <c r="Y51" s="28" t="s">
        <v>69</v>
      </c>
      <c r="AI51" s="40">
        <f>SUM(Z52:Z60)</f>
        <v>0</v>
      </c>
      <c r="AJ51" s="40">
        <f>SUM(AA52:AA60)</f>
        <v>0</v>
      </c>
      <c r="AK51" s="40">
        <f>SUM(AB52:AB60)</f>
        <v>0</v>
      </c>
    </row>
    <row r="52" spans="1:48">
      <c r="A52" s="59" t="s">
        <v>19</v>
      </c>
      <c r="B52" s="6"/>
      <c r="C52" s="59" t="s">
        <v>83</v>
      </c>
      <c r="D52" s="6" t="s">
        <v>146</v>
      </c>
      <c r="E52" s="6" t="s">
        <v>198</v>
      </c>
      <c r="F52" s="18">
        <f>F53</f>
        <v>40.5</v>
      </c>
      <c r="G52" s="18">
        <v>0</v>
      </c>
      <c r="H52" s="18">
        <f>F52*AE52</f>
        <v>0</v>
      </c>
      <c r="I52" s="18">
        <f>J52-H52</f>
        <v>0</v>
      </c>
      <c r="J52" s="18">
        <f>F52*G52</f>
        <v>0</v>
      </c>
      <c r="K52" s="18">
        <v>0</v>
      </c>
      <c r="L52" s="18">
        <f>F52*K52</f>
        <v>0</v>
      </c>
      <c r="M52" s="33" t="s">
        <v>303</v>
      </c>
      <c r="P52" s="37">
        <f>IF(AG52="5",J52,0)</f>
        <v>0</v>
      </c>
      <c r="R52" s="37">
        <f>IF(AG52="1",H52,0)</f>
        <v>0</v>
      </c>
      <c r="S52" s="37">
        <f>IF(AG52="1",I52,0)</f>
        <v>0</v>
      </c>
      <c r="T52" s="37">
        <f>IF(AG52="7",H52,0)</f>
        <v>0</v>
      </c>
      <c r="U52" s="37">
        <f>IF(AG52="7",I52,0)</f>
        <v>0</v>
      </c>
      <c r="V52" s="37">
        <f>IF(AG52="2",H52,0)</f>
        <v>0</v>
      </c>
      <c r="W52" s="37">
        <f>IF(AG52="2",I52,0)</f>
        <v>0</v>
      </c>
      <c r="X52" s="37">
        <f>IF(AG52="0",J52,0)</f>
        <v>0</v>
      </c>
      <c r="Y52" s="28" t="s">
        <v>69</v>
      </c>
      <c r="Z52" s="18">
        <f>IF(AD52=0,J52,0)</f>
        <v>0</v>
      </c>
      <c r="AA52" s="18">
        <f>IF(AD52=15,J52,0)</f>
        <v>0</v>
      </c>
      <c r="AB52" s="18">
        <f>IF(AD52=21,J52,0)</f>
        <v>0</v>
      </c>
      <c r="AD52" s="37">
        <v>21</v>
      </c>
      <c r="AE52" s="37">
        <f>G52*0</f>
        <v>0</v>
      </c>
      <c r="AF52" s="37">
        <f>G52*(1-0)</f>
        <v>0</v>
      </c>
      <c r="AG52" s="33" t="s">
        <v>7</v>
      </c>
      <c r="AM52" s="37">
        <f>F52*AE52</f>
        <v>0</v>
      </c>
      <c r="AN52" s="37">
        <f>F52*AF52</f>
        <v>0</v>
      </c>
      <c r="AO52" s="38" t="s">
        <v>233</v>
      </c>
      <c r="AP52" s="38" t="s">
        <v>243</v>
      </c>
      <c r="AQ52" s="28" t="s">
        <v>250</v>
      </c>
      <c r="AS52" s="37">
        <f>AM52+AN52</f>
        <v>0</v>
      </c>
      <c r="AT52" s="37">
        <f>G52/(100-AU52)*100</f>
        <v>0</v>
      </c>
      <c r="AU52" s="37">
        <v>0</v>
      </c>
      <c r="AV52" s="37">
        <f>L52</f>
        <v>0</v>
      </c>
    </row>
    <row r="53" spans="1:48">
      <c r="A53" s="60"/>
      <c r="B53" s="60"/>
      <c r="D53" s="58" t="s">
        <v>323</v>
      </c>
      <c r="F53" s="19">
        <f>F31</f>
        <v>40.5</v>
      </c>
    </row>
    <row r="54" spans="1:48">
      <c r="A54" s="59" t="s">
        <v>20</v>
      </c>
      <c r="B54" s="6"/>
      <c r="C54" s="59" t="s">
        <v>324</v>
      </c>
      <c r="D54" s="59" t="s">
        <v>325</v>
      </c>
      <c r="E54" s="6" t="s">
        <v>198</v>
      </c>
      <c r="F54" s="18">
        <f>SUM(F55:F56)</f>
        <v>67.5</v>
      </c>
      <c r="G54" s="18">
        <v>0</v>
      </c>
      <c r="H54" s="18">
        <f>F54*AE54</f>
        <v>0</v>
      </c>
      <c r="I54" s="18">
        <f>J54-H54</f>
        <v>0</v>
      </c>
      <c r="J54" s="18">
        <f>F54*G54</f>
        <v>0</v>
      </c>
      <c r="K54" s="18">
        <v>0</v>
      </c>
      <c r="L54" s="18">
        <f>F54*K54</f>
        <v>0</v>
      </c>
      <c r="M54" s="33" t="s">
        <v>303</v>
      </c>
      <c r="P54" s="37">
        <f>IF(AG54="5",J54,0)</f>
        <v>0</v>
      </c>
      <c r="R54" s="37">
        <f>IF(AG54="1",H54,0)</f>
        <v>0</v>
      </c>
      <c r="S54" s="37">
        <f>IF(AG54="1",I54,0)</f>
        <v>0</v>
      </c>
      <c r="T54" s="37">
        <f>IF(AG54="7",H54,0)</f>
        <v>0</v>
      </c>
      <c r="U54" s="37">
        <f>IF(AG54="7",I54,0)</f>
        <v>0</v>
      </c>
      <c r="V54" s="37">
        <f>IF(AG54="2",H54,0)</f>
        <v>0</v>
      </c>
      <c r="W54" s="37">
        <f>IF(AG54="2",I54,0)</f>
        <v>0</v>
      </c>
      <c r="X54" s="37">
        <f>IF(AG54="0",J54,0)</f>
        <v>0</v>
      </c>
      <c r="Y54" s="28" t="s">
        <v>69</v>
      </c>
      <c r="Z54" s="18">
        <f>IF(AD54=0,J54,0)</f>
        <v>0</v>
      </c>
      <c r="AA54" s="18">
        <f>IF(AD54=15,J54,0)</f>
        <v>0</v>
      </c>
      <c r="AB54" s="18">
        <f>IF(AD54=21,J54,0)</f>
        <v>0</v>
      </c>
      <c r="AD54" s="37">
        <v>21</v>
      </c>
      <c r="AE54" s="37">
        <f>G54*0</f>
        <v>0</v>
      </c>
      <c r="AF54" s="37">
        <f>G54*(1-0)</f>
        <v>0</v>
      </c>
      <c r="AG54" s="33" t="s">
        <v>7</v>
      </c>
      <c r="AM54" s="37">
        <f>F54*AE54</f>
        <v>0</v>
      </c>
      <c r="AN54" s="37">
        <f>F54*AF54</f>
        <v>0</v>
      </c>
      <c r="AO54" s="38" t="s">
        <v>233</v>
      </c>
      <c r="AP54" s="38" t="s">
        <v>243</v>
      </c>
      <c r="AQ54" s="28" t="s">
        <v>250</v>
      </c>
      <c r="AS54" s="37">
        <f>AM54+AN54</f>
        <v>0</v>
      </c>
      <c r="AT54" s="37">
        <f>G54/(100-AU54)*100</f>
        <v>0</v>
      </c>
      <c r="AU54" s="37">
        <v>0</v>
      </c>
      <c r="AV54" s="37">
        <f>L54</f>
        <v>0</v>
      </c>
    </row>
    <row r="55" spans="1:48">
      <c r="A55" s="59"/>
      <c r="B55" s="6"/>
      <c r="D55" s="58" t="s">
        <v>326</v>
      </c>
      <c r="F55" s="19">
        <f>F31</f>
        <v>40.5</v>
      </c>
    </row>
    <row r="56" spans="1:48">
      <c r="A56" s="59"/>
      <c r="B56" s="6"/>
      <c r="D56" s="58" t="s">
        <v>327</v>
      </c>
      <c r="F56" s="19">
        <f>F55-F63</f>
        <v>27</v>
      </c>
    </row>
    <row r="57" spans="1:48">
      <c r="A57" s="59" t="s">
        <v>21</v>
      </c>
      <c r="B57" s="6"/>
      <c r="C57" s="59" t="s">
        <v>84</v>
      </c>
      <c r="D57" s="6" t="s">
        <v>147</v>
      </c>
      <c r="E57" s="6" t="s">
        <v>198</v>
      </c>
      <c r="F57" s="18">
        <f>SUM(F58:F59)</f>
        <v>23.8</v>
      </c>
      <c r="G57" s="18">
        <v>0</v>
      </c>
      <c r="H57" s="18">
        <f>F57*AE57</f>
        <v>0</v>
      </c>
      <c r="I57" s="18">
        <f>J57-H57</f>
        <v>0</v>
      </c>
      <c r="J57" s="18">
        <f>F57*G57</f>
        <v>0</v>
      </c>
      <c r="K57" s="18">
        <v>0</v>
      </c>
      <c r="L57" s="18">
        <f>F57*K57</f>
        <v>0</v>
      </c>
      <c r="M57" s="33" t="s">
        <v>303</v>
      </c>
      <c r="P57" s="37">
        <f>IF(AG57="5",J57,0)</f>
        <v>0</v>
      </c>
      <c r="R57" s="37">
        <f>IF(AG57="1",H57,0)</f>
        <v>0</v>
      </c>
      <c r="S57" s="37">
        <f>IF(AG57="1",I57,0)</f>
        <v>0</v>
      </c>
      <c r="T57" s="37">
        <f>IF(AG57="7",H57,0)</f>
        <v>0</v>
      </c>
      <c r="U57" s="37">
        <f>IF(AG57="7",I57,0)</f>
        <v>0</v>
      </c>
      <c r="V57" s="37">
        <f>IF(AG57="2",H57,0)</f>
        <v>0</v>
      </c>
      <c r="W57" s="37">
        <f>IF(AG57="2",I57,0)</f>
        <v>0</v>
      </c>
      <c r="X57" s="37">
        <f>IF(AG57="0",J57,0)</f>
        <v>0</v>
      </c>
      <c r="Y57" s="28" t="s">
        <v>69</v>
      </c>
      <c r="Z57" s="18">
        <f>IF(AD57=0,J57,0)</f>
        <v>0</v>
      </c>
      <c r="AA57" s="18">
        <f>IF(AD57=15,J57,0)</f>
        <v>0</v>
      </c>
      <c r="AB57" s="18">
        <f>IF(AD57=21,J57,0)</f>
        <v>0</v>
      </c>
      <c r="AD57" s="37">
        <v>21</v>
      </c>
      <c r="AE57" s="37">
        <f>G57*0</f>
        <v>0</v>
      </c>
      <c r="AF57" s="37">
        <f>G57*(1-0)</f>
        <v>0</v>
      </c>
      <c r="AG57" s="33" t="s">
        <v>7</v>
      </c>
      <c r="AM57" s="37">
        <f>F57*AE57</f>
        <v>0</v>
      </c>
      <c r="AN57" s="37">
        <f>F57*AF57</f>
        <v>0</v>
      </c>
      <c r="AO57" s="38" t="s">
        <v>233</v>
      </c>
      <c r="AP57" s="38" t="s">
        <v>243</v>
      </c>
      <c r="AQ57" s="28" t="s">
        <v>250</v>
      </c>
      <c r="AS57" s="37">
        <f>AM57+AN57</f>
        <v>0</v>
      </c>
      <c r="AT57" s="37">
        <f>G57/(100-AU57)*100</f>
        <v>0</v>
      </c>
      <c r="AU57" s="37">
        <v>0</v>
      </c>
      <c r="AV57" s="37">
        <f>L57</f>
        <v>0</v>
      </c>
    </row>
    <row r="58" spans="1:48">
      <c r="A58" s="59"/>
      <c r="B58" s="6"/>
      <c r="D58" s="58" t="s">
        <v>331</v>
      </c>
      <c r="F58" s="19">
        <f>F25</f>
        <v>10.3</v>
      </c>
    </row>
    <row r="59" spans="1:48">
      <c r="A59" s="59"/>
      <c r="B59" s="6"/>
      <c r="D59" s="58" t="s">
        <v>332</v>
      </c>
      <c r="F59" s="19">
        <f>F63</f>
        <v>13.5</v>
      </c>
    </row>
    <row r="60" spans="1:48">
      <c r="A60" s="59" t="s">
        <v>22</v>
      </c>
      <c r="B60" s="6"/>
      <c r="C60" s="59" t="s">
        <v>85</v>
      </c>
      <c r="D60" s="6" t="s">
        <v>148</v>
      </c>
      <c r="E60" s="6" t="s">
        <v>198</v>
      </c>
      <c r="F60" s="18">
        <f>F61</f>
        <v>23.8</v>
      </c>
      <c r="G60" s="18">
        <v>0</v>
      </c>
      <c r="H60" s="18">
        <f>F60*AE60</f>
        <v>0</v>
      </c>
      <c r="I60" s="18">
        <f>J60-H60</f>
        <v>0</v>
      </c>
      <c r="J60" s="18">
        <f>F60*G60</f>
        <v>0</v>
      </c>
      <c r="K60" s="18">
        <v>0</v>
      </c>
      <c r="L60" s="18">
        <f>F60*K60</f>
        <v>0</v>
      </c>
      <c r="M60" s="33" t="s">
        <v>303</v>
      </c>
      <c r="P60" s="37">
        <f>IF(AG60="5",J60,0)</f>
        <v>0</v>
      </c>
      <c r="R60" s="37">
        <f>IF(AG60="1",H60,0)</f>
        <v>0</v>
      </c>
      <c r="S60" s="37">
        <f>IF(AG60="1",I60,0)</f>
        <v>0</v>
      </c>
      <c r="T60" s="37">
        <f>IF(AG60="7",H60,0)</f>
        <v>0</v>
      </c>
      <c r="U60" s="37">
        <f>IF(AG60="7",I60,0)</f>
        <v>0</v>
      </c>
      <c r="V60" s="37">
        <f>IF(AG60="2",H60,0)</f>
        <v>0</v>
      </c>
      <c r="W60" s="37">
        <f>IF(AG60="2",I60,0)</f>
        <v>0</v>
      </c>
      <c r="X60" s="37">
        <f>IF(AG60="0",J60,0)</f>
        <v>0</v>
      </c>
      <c r="Y60" s="28" t="s">
        <v>69</v>
      </c>
      <c r="Z60" s="18">
        <f>IF(AD60=0,J60,0)</f>
        <v>0</v>
      </c>
      <c r="AA60" s="18">
        <f>IF(AD60=15,J60,0)</f>
        <v>0</v>
      </c>
      <c r="AB60" s="18">
        <f>IF(AD60=21,J60,0)</f>
        <v>0</v>
      </c>
      <c r="AD60" s="37">
        <v>21</v>
      </c>
      <c r="AE60" s="37">
        <f>G60*0</f>
        <v>0</v>
      </c>
      <c r="AF60" s="37">
        <f>G60*(1-0)</f>
        <v>0</v>
      </c>
      <c r="AG60" s="33" t="s">
        <v>7</v>
      </c>
      <c r="AM60" s="37">
        <f>F60*AE60</f>
        <v>0</v>
      </c>
      <c r="AN60" s="37">
        <f>F60*AF60</f>
        <v>0</v>
      </c>
      <c r="AO60" s="38" t="s">
        <v>233</v>
      </c>
      <c r="AP60" s="38" t="s">
        <v>243</v>
      </c>
      <c r="AQ60" s="28" t="s">
        <v>250</v>
      </c>
      <c r="AS60" s="37">
        <f>AM60+AN60</f>
        <v>0</v>
      </c>
      <c r="AT60" s="37">
        <f>G60/(100-AU60)*100</f>
        <v>0</v>
      </c>
      <c r="AU60" s="37">
        <v>0</v>
      </c>
      <c r="AV60" s="37">
        <f>L60</f>
        <v>0</v>
      </c>
    </row>
    <row r="61" spans="1:48">
      <c r="D61" s="58" t="s">
        <v>333</v>
      </c>
      <c r="F61" s="19">
        <f>F57</f>
        <v>23.8</v>
      </c>
    </row>
    <row r="62" spans="1:48">
      <c r="A62" s="5"/>
      <c r="B62" s="14"/>
      <c r="C62" s="14" t="s">
        <v>23</v>
      </c>
      <c r="D62" s="14" t="s">
        <v>149</v>
      </c>
      <c r="E62" s="5" t="s">
        <v>6</v>
      </c>
      <c r="F62" s="5" t="s">
        <v>6</v>
      </c>
      <c r="G62" s="5" t="s">
        <v>6</v>
      </c>
      <c r="H62" s="40">
        <f>SUM(H63:H73)</f>
        <v>0</v>
      </c>
      <c r="I62" s="40">
        <f>SUM(I63:I73)</f>
        <v>0</v>
      </c>
      <c r="J62" s="40">
        <f>H62+I62</f>
        <v>0</v>
      </c>
      <c r="K62" s="28"/>
      <c r="L62" s="40">
        <f>SUM(L63:L73)</f>
        <v>49.545000000000002</v>
      </c>
      <c r="M62" s="28"/>
      <c r="Y62" s="28" t="s">
        <v>69</v>
      </c>
      <c r="AI62" s="40">
        <f>SUM(Z63:Z73)</f>
        <v>0</v>
      </c>
      <c r="AJ62" s="40">
        <f>SUM(AA63:AA73)</f>
        <v>0</v>
      </c>
      <c r="AK62" s="40">
        <f>SUM(AB63:AB73)</f>
        <v>0</v>
      </c>
    </row>
    <row r="63" spans="1:48">
      <c r="A63" s="59" t="s">
        <v>23</v>
      </c>
      <c r="B63" s="6"/>
      <c r="C63" s="6" t="s">
        <v>86</v>
      </c>
      <c r="D63" s="6" t="s">
        <v>150</v>
      </c>
      <c r="E63" s="6" t="s">
        <v>198</v>
      </c>
      <c r="F63" s="18">
        <f>SUM(F64:F66)</f>
        <v>13.5</v>
      </c>
      <c r="G63" s="18">
        <v>0</v>
      </c>
      <c r="H63" s="18">
        <f>F63*AE63</f>
        <v>0</v>
      </c>
      <c r="I63" s="18">
        <f>J63-H63</f>
        <v>0</v>
      </c>
      <c r="J63" s="18">
        <f>F63*G63</f>
        <v>0</v>
      </c>
      <c r="K63" s="18">
        <v>1.67</v>
      </c>
      <c r="L63" s="18">
        <f>F63*K63</f>
        <v>22.544999999999998</v>
      </c>
      <c r="M63" s="61" t="s">
        <v>303</v>
      </c>
      <c r="P63" s="37">
        <f>IF(AG63="5",J63,0)</f>
        <v>0</v>
      </c>
      <c r="R63" s="37">
        <f>IF(AG63="1",H63,0)</f>
        <v>0</v>
      </c>
      <c r="S63" s="37">
        <f>IF(AG63="1",I63,0)</f>
        <v>0</v>
      </c>
      <c r="T63" s="37">
        <f>IF(AG63="7",H63,0)</f>
        <v>0</v>
      </c>
      <c r="U63" s="37">
        <f>IF(AG63="7",I63,0)</f>
        <v>0</v>
      </c>
      <c r="V63" s="37">
        <f>IF(AG63="2",H63,0)</f>
        <v>0</v>
      </c>
      <c r="W63" s="37">
        <f>IF(AG63="2",I63,0)</f>
        <v>0</v>
      </c>
      <c r="X63" s="37">
        <f>IF(AG63="0",J63,0)</f>
        <v>0</v>
      </c>
      <c r="Y63" s="28" t="s">
        <v>69</v>
      </c>
      <c r="Z63" s="18">
        <f>IF(AD63=0,J63,0)</f>
        <v>0</v>
      </c>
      <c r="AA63" s="18">
        <f>IF(AD63=15,J63,0)</f>
        <v>0</v>
      </c>
      <c r="AB63" s="18">
        <f>IF(AD63=21,J63,0)</f>
        <v>0</v>
      </c>
      <c r="AD63" s="37">
        <v>21</v>
      </c>
      <c r="AE63" s="37">
        <f>G63*0.355052545420224</f>
        <v>0</v>
      </c>
      <c r="AF63" s="37">
        <f>G63*(1-0.355052545420224)</f>
        <v>0</v>
      </c>
      <c r="AG63" s="33" t="s">
        <v>7</v>
      </c>
      <c r="AM63" s="37">
        <f>F63*AE63</f>
        <v>0</v>
      </c>
      <c r="AN63" s="37">
        <f>F63*AF63</f>
        <v>0</v>
      </c>
      <c r="AO63" s="38" t="s">
        <v>234</v>
      </c>
      <c r="AP63" s="38" t="s">
        <v>243</v>
      </c>
      <c r="AQ63" s="28" t="s">
        <v>250</v>
      </c>
      <c r="AS63" s="37">
        <f>AM63+AN63</f>
        <v>0</v>
      </c>
      <c r="AT63" s="37">
        <f>G63/(100-AU63)*100</f>
        <v>0</v>
      </c>
      <c r="AU63" s="37">
        <v>0</v>
      </c>
      <c r="AV63" s="37">
        <f>L63</f>
        <v>22.544999999999998</v>
      </c>
    </row>
    <row r="64" spans="1:48">
      <c r="D64" s="58" t="s">
        <v>328</v>
      </c>
      <c r="F64" s="19">
        <f>1*8*0.4</f>
        <v>3.2</v>
      </c>
    </row>
    <row r="65" spans="1:48">
      <c r="D65" s="58" t="s">
        <v>329</v>
      </c>
      <c r="F65" s="19">
        <f>13*1*1.5*0.4</f>
        <v>7.8000000000000007</v>
      </c>
    </row>
    <row r="66" spans="1:48">
      <c r="D66" s="58" t="s">
        <v>330</v>
      </c>
      <c r="F66" s="19">
        <f>2.5*2.5*0.4</f>
        <v>2.5</v>
      </c>
    </row>
    <row r="67" spans="1:48">
      <c r="A67" s="62" t="s">
        <v>24</v>
      </c>
      <c r="B67" s="7"/>
      <c r="C67" s="62" t="s">
        <v>87</v>
      </c>
      <c r="D67" s="7" t="s">
        <v>151</v>
      </c>
      <c r="E67" s="7" t="s">
        <v>199</v>
      </c>
      <c r="F67" s="20">
        <f>F68</f>
        <v>27</v>
      </c>
      <c r="G67" s="20">
        <v>0</v>
      </c>
      <c r="H67" s="20">
        <f>F67*AE67</f>
        <v>0</v>
      </c>
      <c r="I67" s="20">
        <f>J67-H67</f>
        <v>0</v>
      </c>
      <c r="J67" s="20">
        <f>F67*G67</f>
        <v>0</v>
      </c>
      <c r="K67" s="20">
        <v>1</v>
      </c>
      <c r="L67" s="20">
        <f>F67*K67</f>
        <v>27</v>
      </c>
      <c r="M67" s="63" t="s">
        <v>303</v>
      </c>
      <c r="P67" s="37">
        <f>IF(AG67="5",J67,0)</f>
        <v>0</v>
      </c>
      <c r="R67" s="37">
        <f>IF(AG67="1",H67,0)</f>
        <v>0</v>
      </c>
      <c r="S67" s="37">
        <f>IF(AG67="1",I67,0)</f>
        <v>0</v>
      </c>
      <c r="T67" s="37">
        <f>IF(AG67="7",H67,0)</f>
        <v>0</v>
      </c>
      <c r="U67" s="37">
        <f>IF(AG67="7",I67,0)</f>
        <v>0</v>
      </c>
      <c r="V67" s="37">
        <f>IF(AG67="2",H67,0)</f>
        <v>0</v>
      </c>
      <c r="W67" s="37">
        <f>IF(AG67="2",I67,0)</f>
        <v>0</v>
      </c>
      <c r="X67" s="37">
        <f>IF(AG67="0",J67,0)</f>
        <v>0</v>
      </c>
      <c r="Y67" s="28" t="s">
        <v>69</v>
      </c>
      <c r="Z67" s="20">
        <f>IF(AD67=0,J67,0)</f>
        <v>0</v>
      </c>
      <c r="AA67" s="20">
        <f>IF(AD67=15,J67,0)</f>
        <v>0</v>
      </c>
      <c r="AB67" s="20">
        <f>IF(AD67=21,J67,0)</f>
        <v>0</v>
      </c>
      <c r="AD67" s="37">
        <v>21</v>
      </c>
      <c r="AE67" s="37">
        <f>G67*1</f>
        <v>0</v>
      </c>
      <c r="AF67" s="37">
        <f>G67*(1-1)</f>
        <v>0</v>
      </c>
      <c r="AG67" s="34" t="s">
        <v>7</v>
      </c>
      <c r="AM67" s="37">
        <f>F67*AE67</f>
        <v>0</v>
      </c>
      <c r="AN67" s="37">
        <f>F67*AF67</f>
        <v>0</v>
      </c>
      <c r="AO67" s="38" t="s">
        <v>234</v>
      </c>
      <c r="AP67" s="38" t="s">
        <v>243</v>
      </c>
      <c r="AQ67" s="28" t="s">
        <v>250</v>
      </c>
      <c r="AS67" s="37">
        <f>AM67+AN67</f>
        <v>0</v>
      </c>
      <c r="AT67" s="37">
        <f>G67/(100-AU67)*100</f>
        <v>0</v>
      </c>
      <c r="AU67" s="37">
        <v>0</v>
      </c>
      <c r="AV67" s="37">
        <f>L67</f>
        <v>27</v>
      </c>
    </row>
    <row r="68" spans="1:48">
      <c r="D68" s="58" t="s">
        <v>334</v>
      </c>
      <c r="F68" s="19">
        <f>F63*2</f>
        <v>27</v>
      </c>
    </row>
    <row r="69" spans="1:48">
      <c r="A69" s="59" t="s">
        <v>25</v>
      </c>
      <c r="B69" s="6"/>
      <c r="C69" s="59" t="s">
        <v>88</v>
      </c>
      <c r="D69" s="6" t="s">
        <v>152</v>
      </c>
      <c r="E69" s="6" t="s">
        <v>198</v>
      </c>
      <c r="F69" s="18">
        <f>SUM(F70:F71)</f>
        <v>27</v>
      </c>
      <c r="G69" s="18">
        <v>0</v>
      </c>
      <c r="H69" s="18">
        <f>F69*AE69</f>
        <v>0</v>
      </c>
      <c r="I69" s="18">
        <f>J69-H69</f>
        <v>0</v>
      </c>
      <c r="J69" s="18">
        <f>F69*G69</f>
        <v>0</v>
      </c>
      <c r="K69" s="18">
        <v>0</v>
      </c>
      <c r="L69" s="18">
        <f>F69*K69</f>
        <v>0</v>
      </c>
      <c r="M69" s="61" t="s">
        <v>303</v>
      </c>
      <c r="P69" s="37">
        <f>IF(AG69="5",J69,0)</f>
        <v>0</v>
      </c>
      <c r="R69" s="37">
        <f>IF(AG69="1",H69,0)</f>
        <v>0</v>
      </c>
      <c r="S69" s="37">
        <f>IF(AG69="1",I69,0)</f>
        <v>0</v>
      </c>
      <c r="T69" s="37">
        <f>IF(AG69="7",H69,0)</f>
        <v>0</v>
      </c>
      <c r="U69" s="37">
        <f>IF(AG69="7",I69,0)</f>
        <v>0</v>
      </c>
      <c r="V69" s="37">
        <f>IF(AG69="2",H69,0)</f>
        <v>0</v>
      </c>
      <c r="W69" s="37">
        <f>IF(AG69="2",I69,0)</f>
        <v>0</v>
      </c>
      <c r="X69" s="37">
        <f>IF(AG69="0",J69,0)</f>
        <v>0</v>
      </c>
      <c r="Y69" s="28" t="s">
        <v>69</v>
      </c>
      <c r="Z69" s="18">
        <f>IF(AD69=0,J69,0)</f>
        <v>0</v>
      </c>
      <c r="AA69" s="18">
        <f>IF(AD69=15,J69,0)</f>
        <v>0</v>
      </c>
      <c r="AB69" s="18">
        <f>IF(AD69=21,J69,0)</f>
        <v>0</v>
      </c>
      <c r="AD69" s="37">
        <v>21</v>
      </c>
      <c r="AE69" s="37">
        <f>G69*0</f>
        <v>0</v>
      </c>
      <c r="AF69" s="37">
        <f>G69*(1-0)</f>
        <v>0</v>
      </c>
      <c r="AG69" s="33" t="s">
        <v>7</v>
      </c>
      <c r="AM69" s="37">
        <f>F69*AE69</f>
        <v>0</v>
      </c>
      <c r="AN69" s="37">
        <f>F69*AF69</f>
        <v>0</v>
      </c>
      <c r="AO69" s="38" t="s">
        <v>234</v>
      </c>
      <c r="AP69" s="38" t="s">
        <v>243</v>
      </c>
      <c r="AQ69" s="28" t="s">
        <v>250</v>
      </c>
      <c r="AS69" s="37">
        <f>AM69+AN69</f>
        <v>0</v>
      </c>
      <c r="AT69" s="37">
        <f>G69/(100-AU69)*100</f>
        <v>0</v>
      </c>
      <c r="AU69" s="37">
        <v>0</v>
      </c>
      <c r="AV69" s="37">
        <f>L69</f>
        <v>0</v>
      </c>
    </row>
    <row r="70" spans="1:48">
      <c r="D70" s="58" t="s">
        <v>335</v>
      </c>
      <c r="F70" s="19">
        <f>F31</f>
        <v>40.5</v>
      </c>
    </row>
    <row r="71" spans="1:48">
      <c r="D71" s="58" t="s">
        <v>336</v>
      </c>
      <c r="F71" s="19">
        <f>-F63</f>
        <v>-13.5</v>
      </c>
    </row>
    <row r="72" spans="1:48">
      <c r="A72" s="59" t="s">
        <v>26</v>
      </c>
      <c r="B72" s="6"/>
      <c r="C72" s="59" t="s">
        <v>89</v>
      </c>
      <c r="D72" s="6" t="s">
        <v>153</v>
      </c>
      <c r="E72" s="6" t="s">
        <v>198</v>
      </c>
      <c r="F72" s="18">
        <f>F57</f>
        <v>23.8</v>
      </c>
      <c r="G72" s="18">
        <v>0</v>
      </c>
      <c r="H72" s="18">
        <f>F72*AE72</f>
        <v>0</v>
      </c>
      <c r="I72" s="18">
        <f>J72-H72</f>
        <v>0</v>
      </c>
      <c r="J72" s="18">
        <f>F72*G72</f>
        <v>0</v>
      </c>
      <c r="K72" s="18">
        <v>0</v>
      </c>
      <c r="L72" s="18">
        <f>F72*K72</f>
        <v>0</v>
      </c>
      <c r="M72" s="61" t="s">
        <v>303</v>
      </c>
      <c r="P72" s="37">
        <f>IF(AG72="5",J72,0)</f>
        <v>0</v>
      </c>
      <c r="R72" s="37">
        <f>IF(AG72="1",H72,0)</f>
        <v>0</v>
      </c>
      <c r="S72" s="37">
        <f>IF(AG72="1",I72,0)</f>
        <v>0</v>
      </c>
      <c r="T72" s="37">
        <f>IF(AG72="7",H72,0)</f>
        <v>0</v>
      </c>
      <c r="U72" s="37">
        <f>IF(AG72="7",I72,0)</f>
        <v>0</v>
      </c>
      <c r="V72" s="37">
        <f>IF(AG72="2",H72,0)</f>
        <v>0</v>
      </c>
      <c r="W72" s="37">
        <f>IF(AG72="2",I72,0)</f>
        <v>0</v>
      </c>
      <c r="X72" s="37">
        <f>IF(AG72="0",J72,0)</f>
        <v>0</v>
      </c>
      <c r="Y72" s="28" t="s">
        <v>69</v>
      </c>
      <c r="Z72" s="18">
        <f>IF(AD72=0,J72,0)</f>
        <v>0</v>
      </c>
      <c r="AA72" s="18">
        <f>IF(AD72=15,J72,0)</f>
        <v>0</v>
      </c>
      <c r="AB72" s="18">
        <f>IF(AD72=21,J72,0)</f>
        <v>0</v>
      </c>
      <c r="AD72" s="37">
        <v>21</v>
      </c>
      <c r="AE72" s="37">
        <f>G72*0</f>
        <v>0</v>
      </c>
      <c r="AF72" s="37">
        <f>G72*(1-0)</f>
        <v>0</v>
      </c>
      <c r="AG72" s="33" t="s">
        <v>7</v>
      </c>
      <c r="AM72" s="37">
        <f>F72*AE72</f>
        <v>0</v>
      </c>
      <c r="AN72" s="37">
        <f>F72*AF72</f>
        <v>0</v>
      </c>
      <c r="AO72" s="38" t="s">
        <v>234</v>
      </c>
      <c r="AP72" s="38" t="s">
        <v>243</v>
      </c>
      <c r="AQ72" s="28" t="s">
        <v>250</v>
      </c>
      <c r="AS72" s="37">
        <f>AM72+AN72</f>
        <v>0</v>
      </c>
      <c r="AT72" s="37">
        <f>G72/(100-AU72)*100</f>
        <v>0</v>
      </c>
      <c r="AU72" s="37">
        <v>0</v>
      </c>
      <c r="AV72" s="37">
        <f>L72</f>
        <v>0</v>
      </c>
    </row>
    <row r="73" spans="1:48">
      <c r="A73" s="59" t="s">
        <v>27</v>
      </c>
      <c r="B73" s="6"/>
      <c r="C73" s="59" t="s">
        <v>90</v>
      </c>
      <c r="D73" s="6" t="s">
        <v>154</v>
      </c>
      <c r="E73" s="6" t="s">
        <v>198</v>
      </c>
      <c r="F73" s="18">
        <f>SUM(F74:F75)</f>
        <v>64.3</v>
      </c>
      <c r="G73" s="18">
        <v>0</v>
      </c>
      <c r="H73" s="18">
        <f>F73*AE73</f>
        <v>0</v>
      </c>
      <c r="I73" s="18">
        <f>J73-H73</f>
        <v>0</v>
      </c>
      <c r="J73" s="18">
        <f>F73*G73</f>
        <v>0</v>
      </c>
      <c r="K73" s="18">
        <v>0</v>
      </c>
      <c r="L73" s="18">
        <f>F73*K73</f>
        <v>0</v>
      </c>
      <c r="M73" s="61" t="s">
        <v>303</v>
      </c>
      <c r="P73" s="37">
        <f>IF(AG73="5",J73,0)</f>
        <v>0</v>
      </c>
      <c r="R73" s="37">
        <f>IF(AG73="1",H73,0)</f>
        <v>0</v>
      </c>
      <c r="S73" s="37">
        <f>IF(AG73="1",I73,0)</f>
        <v>0</v>
      </c>
      <c r="T73" s="37">
        <f>IF(AG73="7",H73,0)</f>
        <v>0</v>
      </c>
      <c r="U73" s="37">
        <f>IF(AG73="7",I73,0)</f>
        <v>0</v>
      </c>
      <c r="V73" s="37">
        <f>IF(AG73="2",H73,0)</f>
        <v>0</v>
      </c>
      <c r="W73" s="37">
        <f>IF(AG73="2",I73,0)</f>
        <v>0</v>
      </c>
      <c r="X73" s="37">
        <f>IF(AG73="0",J73,0)</f>
        <v>0</v>
      </c>
      <c r="Y73" s="28" t="s">
        <v>69</v>
      </c>
      <c r="Z73" s="18">
        <f>IF(AD73=0,J73,0)</f>
        <v>0</v>
      </c>
      <c r="AA73" s="18">
        <f>IF(AD73=15,J73,0)</f>
        <v>0</v>
      </c>
      <c r="AB73" s="18">
        <f>IF(AD73=21,J73,0)</f>
        <v>0</v>
      </c>
      <c r="AD73" s="37">
        <v>21</v>
      </c>
      <c r="AE73" s="37">
        <f>G73*0</f>
        <v>0</v>
      </c>
      <c r="AF73" s="37">
        <f>G73*(1-0)</f>
        <v>0</v>
      </c>
      <c r="AG73" s="33" t="s">
        <v>7</v>
      </c>
      <c r="AM73" s="37">
        <f>F73*AE73</f>
        <v>0</v>
      </c>
      <c r="AN73" s="37">
        <f>F73*AF73</f>
        <v>0</v>
      </c>
      <c r="AO73" s="38" t="s">
        <v>234</v>
      </c>
      <c r="AP73" s="38" t="s">
        <v>243</v>
      </c>
      <c r="AQ73" s="28" t="s">
        <v>250</v>
      </c>
      <c r="AS73" s="37">
        <f>AM73+AN73</f>
        <v>0</v>
      </c>
      <c r="AT73" s="37">
        <f>G73/(100-AU73)*100</f>
        <v>0</v>
      </c>
      <c r="AU73" s="37">
        <v>0</v>
      </c>
      <c r="AV73" s="37">
        <f>L73</f>
        <v>0</v>
      </c>
    </row>
    <row r="74" spans="1:48">
      <c r="D74" s="58" t="s">
        <v>337</v>
      </c>
      <c r="F74" s="19">
        <f>F55</f>
        <v>40.5</v>
      </c>
    </row>
    <row r="75" spans="1:48">
      <c r="D75" s="58" t="s">
        <v>338</v>
      </c>
      <c r="F75" s="19">
        <f>F72</f>
        <v>23.8</v>
      </c>
    </row>
    <row r="76" spans="1:48">
      <c r="A76" s="5"/>
      <c r="B76" s="14"/>
      <c r="C76" s="14" t="s">
        <v>63</v>
      </c>
      <c r="D76" s="14" t="s">
        <v>155</v>
      </c>
      <c r="E76" s="5" t="s">
        <v>6</v>
      </c>
      <c r="F76" s="5" t="s">
        <v>6</v>
      </c>
      <c r="G76" s="5" t="s">
        <v>6</v>
      </c>
      <c r="H76" s="40">
        <f>SUM(H77:H138)</f>
        <v>800</v>
      </c>
      <c r="I76" s="40">
        <f>SUM(I77:I138)</f>
        <v>-800</v>
      </c>
      <c r="J76" s="40">
        <f>H76+I76</f>
        <v>0</v>
      </c>
      <c r="K76" s="28"/>
      <c r="L76" s="40">
        <f>SUM(L77:L138)</f>
        <v>1.8825200000000002</v>
      </c>
      <c r="M76" s="28"/>
      <c r="Y76" s="28" t="s">
        <v>69</v>
      </c>
      <c r="AI76" s="40">
        <f>SUM(Z77:Z138)</f>
        <v>0</v>
      </c>
      <c r="AJ76" s="40">
        <f>SUM(AA77:AA138)</f>
        <v>0</v>
      </c>
      <c r="AK76" s="40">
        <f>SUM(AB77:AB138)</f>
        <v>0</v>
      </c>
    </row>
    <row r="77" spans="1:48">
      <c r="A77" s="62" t="s">
        <v>28</v>
      </c>
      <c r="B77" s="7"/>
      <c r="C77" s="7" t="s">
        <v>91</v>
      </c>
      <c r="D77" s="7" t="s">
        <v>156</v>
      </c>
      <c r="E77" s="7" t="s">
        <v>200</v>
      </c>
      <c r="F77" s="20">
        <v>2</v>
      </c>
      <c r="G77" s="20">
        <v>0</v>
      </c>
      <c r="H77" s="20">
        <f>F77*AE77</f>
        <v>0</v>
      </c>
      <c r="I77" s="20">
        <f>J77-H77</f>
        <v>0</v>
      </c>
      <c r="J77" s="20">
        <f>F77*G77</f>
        <v>0</v>
      </c>
      <c r="K77" s="20">
        <v>3.5E-4</v>
      </c>
      <c r="L77" s="20">
        <f>F77*K77</f>
        <v>6.9999999999999999E-4</v>
      </c>
      <c r="M77" s="34" t="s">
        <v>303</v>
      </c>
      <c r="P77" s="37">
        <f>IF(AG77="5",J77,0)</f>
        <v>0</v>
      </c>
      <c r="R77" s="37">
        <f>IF(AG77="1",H77,0)</f>
        <v>0</v>
      </c>
      <c r="S77" s="37">
        <f>IF(AG77="1",I77,0)</f>
        <v>0</v>
      </c>
      <c r="T77" s="37">
        <f>IF(AG77="7",H77,0)</f>
        <v>0</v>
      </c>
      <c r="U77" s="37">
        <f>IF(AG77="7",I77,0)</f>
        <v>0</v>
      </c>
      <c r="V77" s="37">
        <f>IF(AG77="2",H77,0)</f>
        <v>0</v>
      </c>
      <c r="W77" s="37">
        <f>IF(AG77="2",I77,0)</f>
        <v>0</v>
      </c>
      <c r="X77" s="37">
        <f>IF(AG77="0",J77,0)</f>
        <v>0</v>
      </c>
      <c r="Y77" s="28" t="s">
        <v>69</v>
      </c>
      <c r="Z77" s="20">
        <f>IF(AD77=0,J77,0)</f>
        <v>0</v>
      </c>
      <c r="AA77" s="20">
        <f>IF(AD77=15,J77,0)</f>
        <v>0</v>
      </c>
      <c r="AB77" s="20">
        <f>IF(AD77=21,J77,0)</f>
        <v>0</v>
      </c>
      <c r="AD77" s="37">
        <v>21</v>
      </c>
      <c r="AE77" s="37">
        <f>G77*1</f>
        <v>0</v>
      </c>
      <c r="AF77" s="37">
        <f>G77*(1-1)</f>
        <v>0</v>
      </c>
      <c r="AG77" s="34" t="s">
        <v>7</v>
      </c>
      <c r="AM77" s="37">
        <f>F77*AE77</f>
        <v>0</v>
      </c>
      <c r="AN77" s="37">
        <f>F77*AF77</f>
        <v>0</v>
      </c>
      <c r="AO77" s="38" t="s">
        <v>235</v>
      </c>
      <c r="AP77" s="38" t="s">
        <v>244</v>
      </c>
      <c r="AQ77" s="28" t="s">
        <v>250</v>
      </c>
      <c r="AS77" s="37">
        <f>AM77+AN77</f>
        <v>0</v>
      </c>
      <c r="AT77" s="37">
        <f>G77/(100-AU77)*100</f>
        <v>0</v>
      </c>
      <c r="AU77" s="37">
        <v>0</v>
      </c>
      <c r="AV77" s="37">
        <f>L77</f>
        <v>6.9999999999999999E-4</v>
      </c>
    </row>
    <row r="78" spans="1:48">
      <c r="D78" s="16" t="s">
        <v>8</v>
      </c>
      <c r="F78" s="19">
        <v>2</v>
      </c>
    </row>
    <row r="79" spans="1:48">
      <c r="A79" s="62" t="s">
        <v>29</v>
      </c>
      <c r="B79" s="7"/>
      <c r="C79" s="7" t="s">
        <v>92</v>
      </c>
      <c r="D79" s="7" t="s">
        <v>157</v>
      </c>
      <c r="E79" s="7" t="s">
        <v>200</v>
      </c>
      <c r="F79" s="20">
        <v>2</v>
      </c>
      <c r="G79" s="20">
        <v>0</v>
      </c>
      <c r="H79" s="20">
        <f>F79*AE79</f>
        <v>0</v>
      </c>
      <c r="I79" s="20">
        <f>J79-H79</f>
        <v>0</v>
      </c>
      <c r="J79" s="20">
        <f>F79*G79</f>
        <v>0</v>
      </c>
      <c r="K79" s="20">
        <v>3.8800000000000002E-3</v>
      </c>
      <c r="L79" s="20">
        <f>F79*K79</f>
        <v>7.7600000000000004E-3</v>
      </c>
      <c r="M79" s="34" t="s">
        <v>303</v>
      </c>
      <c r="P79" s="37">
        <f>IF(AG79="5",J79,0)</f>
        <v>0</v>
      </c>
      <c r="R79" s="37">
        <f>IF(AG79="1",H79,0)</f>
        <v>0</v>
      </c>
      <c r="S79" s="37">
        <f>IF(AG79="1",I79,0)</f>
        <v>0</v>
      </c>
      <c r="T79" s="37">
        <f>IF(AG79="7",H79,0)</f>
        <v>0</v>
      </c>
      <c r="U79" s="37">
        <f>IF(AG79="7",I79,0)</f>
        <v>0</v>
      </c>
      <c r="V79" s="37">
        <f>IF(AG79="2",H79,0)</f>
        <v>0</v>
      </c>
      <c r="W79" s="37">
        <f>IF(AG79="2",I79,0)</f>
        <v>0</v>
      </c>
      <c r="X79" s="37">
        <f>IF(AG79="0",J79,0)</f>
        <v>0</v>
      </c>
      <c r="Y79" s="28" t="s">
        <v>69</v>
      </c>
      <c r="Z79" s="20">
        <f>IF(AD79=0,J79,0)</f>
        <v>0</v>
      </c>
      <c r="AA79" s="20">
        <f>IF(AD79=15,J79,0)</f>
        <v>0</v>
      </c>
      <c r="AB79" s="20">
        <f>IF(AD79=21,J79,0)</f>
        <v>0</v>
      </c>
      <c r="AD79" s="37">
        <v>21</v>
      </c>
      <c r="AE79" s="37">
        <f>G79*1</f>
        <v>0</v>
      </c>
      <c r="AF79" s="37">
        <f>G79*(1-1)</f>
        <v>0</v>
      </c>
      <c r="AG79" s="34" t="s">
        <v>7</v>
      </c>
      <c r="AM79" s="37">
        <f>F79*AE79</f>
        <v>0</v>
      </c>
      <c r="AN79" s="37">
        <f>F79*AF79</f>
        <v>0</v>
      </c>
      <c r="AO79" s="38" t="s">
        <v>235</v>
      </c>
      <c r="AP79" s="38" t="s">
        <v>244</v>
      </c>
      <c r="AQ79" s="28" t="s">
        <v>250</v>
      </c>
      <c r="AS79" s="37">
        <f>AM79+AN79</f>
        <v>0</v>
      </c>
      <c r="AT79" s="37">
        <f>G79/(100-AU79)*100</f>
        <v>0</v>
      </c>
      <c r="AU79" s="37">
        <v>0</v>
      </c>
      <c r="AV79" s="37">
        <f>L79</f>
        <v>7.7600000000000004E-3</v>
      </c>
    </row>
    <row r="80" spans="1:48">
      <c r="D80" s="16" t="s">
        <v>8</v>
      </c>
      <c r="F80" s="19">
        <v>2</v>
      </c>
      <c r="H80" s="20"/>
      <c r="I80" s="20"/>
      <c r="J80" s="20"/>
      <c r="K80" s="20"/>
      <c r="L80" s="20"/>
      <c r="M80" s="34"/>
    </row>
    <row r="81" spans="1:48">
      <c r="A81" s="62" t="s">
        <v>30</v>
      </c>
      <c r="B81" s="7"/>
      <c r="C81" s="7">
        <v>55260024</v>
      </c>
      <c r="D81" s="7" t="s">
        <v>342</v>
      </c>
      <c r="E81" s="64" t="s">
        <v>200</v>
      </c>
      <c r="F81" s="20">
        <v>1</v>
      </c>
      <c r="G81" s="20">
        <v>0</v>
      </c>
      <c r="H81" s="20">
        <f>F81*AE81</f>
        <v>0</v>
      </c>
      <c r="I81" s="20">
        <f t="shared" ref="I81:I89" si="0">J81-H81</f>
        <v>0</v>
      </c>
      <c r="J81" s="20">
        <f>F81*G81</f>
        <v>0</v>
      </c>
      <c r="K81" s="20">
        <v>2.0038800000000001</v>
      </c>
      <c r="L81" s="20">
        <v>0</v>
      </c>
      <c r="M81" s="34" t="s">
        <v>303</v>
      </c>
    </row>
    <row r="82" spans="1:48">
      <c r="D82" s="58" t="s">
        <v>7</v>
      </c>
      <c r="F82" s="19">
        <v>1</v>
      </c>
      <c r="H82" s="20"/>
      <c r="I82" s="20"/>
      <c r="J82" s="20"/>
      <c r="K82" s="20"/>
      <c r="L82" s="20"/>
      <c r="M82" s="34"/>
    </row>
    <row r="83" spans="1:48">
      <c r="A83" s="62" t="s">
        <v>31</v>
      </c>
      <c r="B83" s="7"/>
      <c r="C83" s="7">
        <v>55260061</v>
      </c>
      <c r="D83" s="7" t="s">
        <v>343</v>
      </c>
      <c r="E83" s="64" t="s">
        <v>200</v>
      </c>
      <c r="F83" s="20">
        <v>1</v>
      </c>
      <c r="G83" s="20">
        <v>0</v>
      </c>
      <c r="H83" s="20">
        <f>F83*AE83</f>
        <v>0</v>
      </c>
      <c r="I83" s="20">
        <f t="shared" si="0"/>
        <v>0</v>
      </c>
      <c r="J83" s="20">
        <f>F83*G83</f>
        <v>0</v>
      </c>
      <c r="K83" s="20">
        <v>0</v>
      </c>
      <c r="L83" s="20">
        <f>F83*K83</f>
        <v>0</v>
      </c>
      <c r="M83" s="34" t="s">
        <v>303</v>
      </c>
    </row>
    <row r="84" spans="1:48">
      <c r="D84" s="58" t="s">
        <v>7</v>
      </c>
      <c r="F84" s="19">
        <v>1</v>
      </c>
    </row>
    <row r="85" spans="1:48">
      <c r="A85" s="62" t="s">
        <v>32</v>
      </c>
      <c r="B85" s="7"/>
      <c r="C85" s="7">
        <v>422935323</v>
      </c>
      <c r="D85" s="62" t="s">
        <v>344</v>
      </c>
      <c r="E85" s="64" t="s">
        <v>200</v>
      </c>
      <c r="F85" s="20">
        <v>1</v>
      </c>
      <c r="G85" s="20">
        <v>0</v>
      </c>
      <c r="H85" s="20">
        <f>F85*AE85</f>
        <v>0</v>
      </c>
      <c r="I85" s="20">
        <f t="shared" si="0"/>
        <v>0</v>
      </c>
      <c r="J85" s="20">
        <f>F85*G85</f>
        <v>0</v>
      </c>
      <c r="K85" s="20">
        <v>0</v>
      </c>
      <c r="L85" s="20">
        <f>F85*K85</f>
        <v>0</v>
      </c>
      <c r="M85" s="34" t="s">
        <v>303</v>
      </c>
    </row>
    <row r="86" spans="1:48">
      <c r="D86" s="58" t="s">
        <v>7</v>
      </c>
      <c r="F86" s="19">
        <v>1</v>
      </c>
    </row>
    <row r="87" spans="1:48">
      <c r="A87" s="62" t="s">
        <v>33</v>
      </c>
      <c r="B87" s="7"/>
      <c r="C87" s="7">
        <v>552702003</v>
      </c>
      <c r="D87" s="62" t="s">
        <v>347</v>
      </c>
      <c r="E87" s="64" t="s">
        <v>200</v>
      </c>
      <c r="F87" s="20">
        <v>2</v>
      </c>
      <c r="G87" s="20">
        <v>0</v>
      </c>
      <c r="H87" s="20">
        <f>F87*AE87</f>
        <v>0</v>
      </c>
      <c r="I87" s="20">
        <f t="shared" si="0"/>
        <v>0</v>
      </c>
      <c r="J87" s="20">
        <f>F87*G87</f>
        <v>0</v>
      </c>
      <c r="K87" s="20">
        <v>0</v>
      </c>
      <c r="L87" s="20">
        <f>F87*K87</f>
        <v>0</v>
      </c>
      <c r="M87" s="34" t="s">
        <v>303</v>
      </c>
    </row>
    <row r="88" spans="1:48">
      <c r="D88" s="58"/>
      <c r="F88" s="19">
        <v>2</v>
      </c>
    </row>
    <row r="89" spans="1:48">
      <c r="A89" s="62" t="s">
        <v>34</v>
      </c>
      <c r="B89" s="7"/>
      <c r="C89" s="62" t="s">
        <v>96</v>
      </c>
      <c r="D89" s="62" t="s">
        <v>162</v>
      </c>
      <c r="E89" s="64" t="s">
        <v>200</v>
      </c>
      <c r="F89" s="20">
        <v>1</v>
      </c>
      <c r="G89" s="20">
        <v>0</v>
      </c>
      <c r="H89" s="20">
        <f>F89*AE89</f>
        <v>0</v>
      </c>
      <c r="I89" s="20">
        <f t="shared" si="0"/>
        <v>0</v>
      </c>
      <c r="J89" s="20">
        <f>F89*G89</f>
        <v>0</v>
      </c>
      <c r="K89" s="20">
        <v>0</v>
      </c>
      <c r="L89" s="20">
        <f>F89*K89</f>
        <v>0</v>
      </c>
      <c r="M89" s="34" t="s">
        <v>303</v>
      </c>
    </row>
    <row r="90" spans="1:48">
      <c r="D90" s="58" t="s">
        <v>7</v>
      </c>
      <c r="F90" s="19">
        <v>1</v>
      </c>
    </row>
    <row r="91" spans="1:48">
      <c r="A91" s="59" t="s">
        <v>35</v>
      </c>
      <c r="B91" s="6"/>
      <c r="C91" s="59" t="s">
        <v>93</v>
      </c>
      <c r="D91" s="6" t="s">
        <v>158</v>
      </c>
      <c r="E91" s="6" t="s">
        <v>200</v>
      </c>
      <c r="F91" s="18">
        <f>F92</f>
        <v>754.73199999999997</v>
      </c>
      <c r="G91" s="18">
        <v>0</v>
      </c>
      <c r="H91" s="18">
        <f>F91*AE91</f>
        <v>0</v>
      </c>
      <c r="I91" s="18">
        <f>J91-H91</f>
        <v>0</v>
      </c>
      <c r="J91" s="18">
        <f>F91*G91</f>
        <v>0</v>
      </c>
      <c r="K91" s="18">
        <v>0</v>
      </c>
      <c r="L91" s="18">
        <f>F91*K91</f>
        <v>0</v>
      </c>
      <c r="M91" s="33" t="s">
        <v>303</v>
      </c>
      <c r="P91" s="37">
        <f>IF(AG91="5",J91,0)</f>
        <v>0</v>
      </c>
      <c r="R91" s="37">
        <f>IF(AG91="1",H91,0)</f>
        <v>0</v>
      </c>
      <c r="S91" s="37">
        <f>IF(AG91="1",I91,0)</f>
        <v>0</v>
      </c>
      <c r="T91" s="37">
        <f>IF(AG91="7",H91,0)</f>
        <v>0</v>
      </c>
      <c r="U91" s="37">
        <f>IF(AG91="7",I91,0)</f>
        <v>0</v>
      </c>
      <c r="V91" s="37">
        <f>IF(AG91="2",H91,0)</f>
        <v>0</v>
      </c>
      <c r="W91" s="37">
        <f>IF(AG91="2",I91,0)</f>
        <v>0</v>
      </c>
      <c r="X91" s="37">
        <f>IF(AG91="0",J91,0)</f>
        <v>0</v>
      </c>
      <c r="Y91" s="28" t="s">
        <v>69</v>
      </c>
      <c r="Z91" s="18">
        <f>IF(AD91=0,J91,0)</f>
        <v>0</v>
      </c>
      <c r="AA91" s="18">
        <f>IF(AD91=15,J91,0)</f>
        <v>0</v>
      </c>
      <c r="AB91" s="18">
        <f>IF(AD91=21,J91,0)</f>
        <v>0</v>
      </c>
      <c r="AD91" s="37">
        <v>21</v>
      </c>
      <c r="AE91" s="37">
        <f>G91*0.0000228310502283105</f>
        <v>0</v>
      </c>
      <c r="AF91" s="37">
        <f>G91*(1-0.0000228310502283105)</f>
        <v>0</v>
      </c>
      <c r="AG91" s="33" t="s">
        <v>7</v>
      </c>
      <c r="AM91" s="37">
        <f>F91*AE91</f>
        <v>0</v>
      </c>
      <c r="AN91" s="37">
        <f>F91*AF91</f>
        <v>0</v>
      </c>
      <c r="AO91" s="38" t="s">
        <v>235</v>
      </c>
      <c r="AP91" s="38" t="s">
        <v>244</v>
      </c>
      <c r="AQ91" s="28" t="s">
        <v>250</v>
      </c>
      <c r="AS91" s="37">
        <f>AM91+AN91</f>
        <v>0</v>
      </c>
      <c r="AT91" s="37">
        <f>G91/(100-AU91)*100</f>
        <v>0</v>
      </c>
      <c r="AU91" s="37">
        <v>0</v>
      </c>
      <c r="AV91" s="37">
        <f>L91</f>
        <v>0</v>
      </c>
    </row>
    <row r="92" spans="1:48">
      <c r="D92" s="58"/>
      <c r="F92" s="19">
        <f>F89+F47+F45+F43+F41+F39</f>
        <v>754.73199999999997</v>
      </c>
    </row>
    <row r="93" spans="1:48">
      <c r="A93" s="59" t="s">
        <v>36</v>
      </c>
      <c r="B93" s="6"/>
      <c r="C93" s="59" t="s">
        <v>345</v>
      </c>
      <c r="D93" s="59" t="s">
        <v>346</v>
      </c>
      <c r="E93" s="59" t="s">
        <v>200</v>
      </c>
      <c r="F93" s="18">
        <v>1</v>
      </c>
      <c r="G93" s="18">
        <v>0</v>
      </c>
      <c r="H93" s="18">
        <v>240</v>
      </c>
      <c r="I93" s="18">
        <f>J93-H93</f>
        <v>-240</v>
      </c>
      <c r="J93" s="18">
        <f>F93*G93</f>
        <v>0</v>
      </c>
      <c r="K93" s="18">
        <v>0</v>
      </c>
      <c r="L93" s="18">
        <f>F93*K93</f>
        <v>0</v>
      </c>
      <c r="M93" s="33" t="s">
        <v>303</v>
      </c>
      <c r="P93" s="37"/>
      <c r="R93" s="37"/>
      <c r="S93" s="37"/>
      <c r="T93" s="37"/>
      <c r="U93" s="37"/>
      <c r="V93" s="37"/>
      <c r="W93" s="37"/>
      <c r="X93" s="37"/>
      <c r="Y93" s="28"/>
      <c r="Z93" s="18"/>
      <c r="AA93" s="18"/>
      <c r="AB93" s="18"/>
      <c r="AD93" s="37"/>
      <c r="AE93" s="37"/>
      <c r="AF93" s="37"/>
      <c r="AG93" s="33"/>
      <c r="AM93" s="37"/>
      <c r="AN93" s="37"/>
      <c r="AO93" s="38"/>
      <c r="AP93" s="38"/>
      <c r="AQ93" s="28"/>
      <c r="AS93" s="37"/>
      <c r="AT93" s="37"/>
      <c r="AU93" s="37"/>
      <c r="AV93" s="37"/>
    </row>
    <row r="94" spans="1:48">
      <c r="C94" s="64"/>
      <c r="D94" s="58" t="s">
        <v>7</v>
      </c>
      <c r="F94" s="19">
        <v>1</v>
      </c>
    </row>
    <row r="95" spans="1:48">
      <c r="A95" s="62" t="s">
        <v>37</v>
      </c>
      <c r="B95" s="7"/>
      <c r="C95" s="62" t="s">
        <v>94</v>
      </c>
      <c r="D95" s="7" t="s">
        <v>159</v>
      </c>
      <c r="E95" s="7" t="s">
        <v>200</v>
      </c>
      <c r="F95" s="20">
        <v>3</v>
      </c>
      <c r="G95" s="20">
        <v>0</v>
      </c>
      <c r="H95" s="20">
        <f>F95*AE95</f>
        <v>0</v>
      </c>
      <c r="I95" s="20">
        <f>J95-H95</f>
        <v>0</v>
      </c>
      <c r="J95" s="20">
        <f>F95*G95</f>
        <v>0</v>
      </c>
      <c r="K95" s="20">
        <v>1.9E-2</v>
      </c>
      <c r="L95" s="20">
        <f>F95*K95</f>
        <v>5.6999999999999995E-2</v>
      </c>
      <c r="M95" s="34" t="s">
        <v>303</v>
      </c>
      <c r="P95" s="37">
        <f>IF(AG95="5",J95,0)</f>
        <v>0</v>
      </c>
      <c r="R95" s="37">
        <f>IF(AG95="1",H95,0)</f>
        <v>0</v>
      </c>
      <c r="S95" s="37">
        <f>IF(AG95="1",I95,0)</f>
        <v>0</v>
      </c>
      <c r="T95" s="37">
        <f>IF(AG95="7",H95,0)</f>
        <v>0</v>
      </c>
      <c r="U95" s="37">
        <f>IF(AG95="7",I95,0)</f>
        <v>0</v>
      </c>
      <c r="V95" s="37">
        <f>IF(AG95="2",H95,0)</f>
        <v>0</v>
      </c>
      <c r="W95" s="37">
        <f>IF(AG95="2",I95,0)</f>
        <v>0</v>
      </c>
      <c r="X95" s="37">
        <f>IF(AG95="0",J95,0)</f>
        <v>0</v>
      </c>
      <c r="Y95" s="28" t="s">
        <v>69</v>
      </c>
      <c r="Z95" s="20">
        <f>IF(AD95=0,J95,0)</f>
        <v>0</v>
      </c>
      <c r="AA95" s="20">
        <f>IF(AD95=15,J95,0)</f>
        <v>0</v>
      </c>
      <c r="AB95" s="20">
        <f>IF(AD95=21,J95,0)</f>
        <v>0</v>
      </c>
      <c r="AD95" s="37">
        <v>21</v>
      </c>
      <c r="AE95" s="37">
        <f>G95*1</f>
        <v>0</v>
      </c>
      <c r="AF95" s="37">
        <f>G95*(1-1)</f>
        <v>0</v>
      </c>
      <c r="AG95" s="34" t="s">
        <v>7</v>
      </c>
      <c r="AM95" s="37">
        <f>F95*AE95</f>
        <v>0</v>
      </c>
      <c r="AN95" s="37">
        <f>F95*AF95</f>
        <v>0</v>
      </c>
      <c r="AO95" s="38" t="s">
        <v>235</v>
      </c>
      <c r="AP95" s="38" t="s">
        <v>244</v>
      </c>
      <c r="AQ95" s="28" t="s">
        <v>250</v>
      </c>
      <c r="AS95" s="37">
        <f>AM95+AN95</f>
        <v>0</v>
      </c>
      <c r="AT95" s="37">
        <f>G95/(100-AU95)*100</f>
        <v>0</v>
      </c>
      <c r="AU95" s="37">
        <v>0</v>
      </c>
      <c r="AV95" s="37">
        <f>L95</f>
        <v>5.6999999999999995E-2</v>
      </c>
    </row>
    <row r="96" spans="1:48">
      <c r="D96" s="58" t="s">
        <v>341</v>
      </c>
      <c r="F96" s="19">
        <v>1</v>
      </c>
    </row>
    <row r="97" spans="1:48">
      <c r="A97" s="59" t="s">
        <v>38</v>
      </c>
      <c r="B97" s="6"/>
      <c r="C97" s="59" t="s">
        <v>95</v>
      </c>
      <c r="D97" s="6" t="s">
        <v>161</v>
      </c>
      <c r="E97" s="6" t="s">
        <v>200</v>
      </c>
      <c r="F97" s="18">
        <v>3</v>
      </c>
      <c r="G97" s="18">
        <v>0</v>
      </c>
      <c r="H97" s="18">
        <f>F97*AE97</f>
        <v>0</v>
      </c>
      <c r="I97" s="18">
        <f>J97-H97</f>
        <v>0</v>
      </c>
      <c r="J97" s="18">
        <f>F97*G97</f>
        <v>0</v>
      </c>
      <c r="K97" s="18">
        <v>2.1000000000000001E-4</v>
      </c>
      <c r="L97" s="18">
        <f>F97*K97</f>
        <v>6.3000000000000003E-4</v>
      </c>
      <c r="M97" s="33" t="s">
        <v>303</v>
      </c>
      <c r="P97" s="37">
        <f>IF(AG97="5",J97,0)</f>
        <v>0</v>
      </c>
      <c r="R97" s="37">
        <f>IF(AG97="1",H97,0)</f>
        <v>0</v>
      </c>
      <c r="S97" s="37">
        <f>IF(AG97="1",I97,0)</f>
        <v>0</v>
      </c>
      <c r="T97" s="37">
        <f>IF(AG97="7",H97,0)</f>
        <v>0</v>
      </c>
      <c r="U97" s="37">
        <f>IF(AG97="7",I97,0)</f>
        <v>0</v>
      </c>
      <c r="V97" s="37">
        <f>IF(AG97="2",H97,0)</f>
        <v>0</v>
      </c>
      <c r="W97" s="37">
        <f>IF(AG97="2",I97,0)</f>
        <v>0</v>
      </c>
      <c r="X97" s="37">
        <f>IF(AG97="0",J97,0)</f>
        <v>0</v>
      </c>
      <c r="Y97" s="28" t="s">
        <v>69</v>
      </c>
      <c r="Z97" s="18">
        <f>IF(AD97=0,J97,0)</f>
        <v>0</v>
      </c>
      <c r="AA97" s="18">
        <f>IF(AD97=15,J97,0)</f>
        <v>0</v>
      </c>
      <c r="AB97" s="18">
        <f>IF(AD97=21,J97,0)</f>
        <v>0</v>
      </c>
      <c r="AD97" s="37">
        <v>21</v>
      </c>
      <c r="AE97" s="37">
        <f>G97*0.112125</f>
        <v>0</v>
      </c>
      <c r="AF97" s="37">
        <f>G97*(1-0.112125)</f>
        <v>0</v>
      </c>
      <c r="AG97" s="33" t="s">
        <v>7</v>
      </c>
      <c r="AM97" s="37">
        <f>F97*AE97</f>
        <v>0</v>
      </c>
      <c r="AN97" s="37">
        <f>F97*AF97</f>
        <v>0</v>
      </c>
      <c r="AO97" s="38" t="s">
        <v>235</v>
      </c>
      <c r="AP97" s="38" t="s">
        <v>244</v>
      </c>
      <c r="AQ97" s="28" t="s">
        <v>250</v>
      </c>
      <c r="AS97" s="37">
        <f>AM97+AN97</f>
        <v>0</v>
      </c>
      <c r="AT97" s="37">
        <f>G97/(100-AU97)*100</f>
        <v>0</v>
      </c>
      <c r="AU97" s="37">
        <v>0</v>
      </c>
      <c r="AV97" s="37">
        <f>L97</f>
        <v>6.3000000000000003E-4</v>
      </c>
    </row>
    <row r="98" spans="1:48">
      <c r="D98" s="58" t="s">
        <v>9</v>
      </c>
      <c r="F98" s="19">
        <v>1</v>
      </c>
    </row>
    <row r="99" spans="1:48">
      <c r="A99" s="62" t="s">
        <v>39</v>
      </c>
      <c r="B99" s="7"/>
      <c r="C99" s="62" t="s">
        <v>348</v>
      </c>
      <c r="D99" s="62" t="s">
        <v>349</v>
      </c>
      <c r="E99" s="7" t="s">
        <v>200</v>
      </c>
      <c r="F99" s="20">
        <v>1</v>
      </c>
      <c r="G99" s="20">
        <v>0</v>
      </c>
      <c r="H99" s="20">
        <f>F99*AE99</f>
        <v>0</v>
      </c>
      <c r="I99" s="20">
        <f>J99-H99</f>
        <v>0</v>
      </c>
      <c r="J99" s="20">
        <f>F99*G99</f>
        <v>0</v>
      </c>
      <c r="K99" s="20">
        <v>9.7999999999999997E-3</v>
      </c>
      <c r="L99" s="20">
        <f>F99*K99</f>
        <v>9.7999999999999997E-3</v>
      </c>
      <c r="M99" s="34" t="s">
        <v>303</v>
      </c>
      <c r="P99" s="37">
        <f>IF(AG99="5",J99,0)</f>
        <v>0</v>
      </c>
      <c r="R99" s="37">
        <f>IF(AG99="1",H99,0)</f>
        <v>0</v>
      </c>
      <c r="S99" s="37">
        <f>IF(AG99="1",I99,0)</f>
        <v>0</v>
      </c>
      <c r="T99" s="37">
        <f>IF(AG99="7",H99,0)</f>
        <v>0</v>
      </c>
      <c r="U99" s="37">
        <f>IF(AG99="7",I99,0)</f>
        <v>0</v>
      </c>
      <c r="V99" s="37">
        <f>IF(AG99="2",H99,0)</f>
        <v>0</v>
      </c>
      <c r="W99" s="37">
        <f>IF(AG99="2",I99,0)</f>
        <v>0</v>
      </c>
      <c r="X99" s="37">
        <f>IF(AG99="0",J99,0)</f>
        <v>0</v>
      </c>
      <c r="Y99" s="28" t="s">
        <v>69</v>
      </c>
      <c r="Z99" s="20">
        <f>IF(AD99=0,J99,0)</f>
        <v>0</v>
      </c>
      <c r="AA99" s="20">
        <f>IF(AD99=15,J99,0)</f>
        <v>0</v>
      </c>
      <c r="AB99" s="20">
        <f>IF(AD99=21,J99,0)</f>
        <v>0</v>
      </c>
      <c r="AD99" s="37">
        <v>21</v>
      </c>
      <c r="AE99" s="37">
        <f>G99*1</f>
        <v>0</v>
      </c>
      <c r="AF99" s="37">
        <f>G99*(1-1)</f>
        <v>0</v>
      </c>
      <c r="AG99" s="34" t="s">
        <v>7</v>
      </c>
      <c r="AM99" s="37">
        <f>F99*AE99</f>
        <v>0</v>
      </c>
      <c r="AN99" s="37">
        <f>F99*AF99</f>
        <v>0</v>
      </c>
      <c r="AO99" s="38" t="s">
        <v>235</v>
      </c>
      <c r="AP99" s="38" t="s">
        <v>244</v>
      </c>
      <c r="AQ99" s="28" t="s">
        <v>250</v>
      </c>
      <c r="AS99" s="37">
        <f>AM99+AN99</f>
        <v>0</v>
      </c>
      <c r="AT99" s="37">
        <f>G99/(100-AU99)*100</f>
        <v>0</v>
      </c>
      <c r="AU99" s="37">
        <v>0</v>
      </c>
      <c r="AV99" s="37">
        <f>L99</f>
        <v>9.7999999999999997E-3</v>
      </c>
    </row>
    <row r="100" spans="1:48">
      <c r="D100" s="16" t="s">
        <v>160</v>
      </c>
      <c r="F100" s="19">
        <v>1</v>
      </c>
    </row>
    <row r="101" spans="1:48">
      <c r="A101" s="59" t="s">
        <v>40</v>
      </c>
      <c r="B101" s="6"/>
      <c r="C101" s="59" t="s">
        <v>104</v>
      </c>
      <c r="D101" s="59" t="s">
        <v>350</v>
      </c>
      <c r="E101" s="6" t="s">
        <v>200</v>
      </c>
      <c r="F101" s="18">
        <v>1</v>
      </c>
      <c r="G101" s="18">
        <v>0</v>
      </c>
      <c r="H101" s="18">
        <f>F101*AE101</f>
        <v>0</v>
      </c>
      <c r="I101" s="18">
        <f>J101-H101</f>
        <v>0</v>
      </c>
      <c r="J101" s="18">
        <f>F101*G101</f>
        <v>0</v>
      </c>
      <c r="K101" s="18">
        <v>0</v>
      </c>
      <c r="L101" s="18">
        <f>F101*K101</f>
        <v>0</v>
      </c>
      <c r="M101" s="33" t="s">
        <v>303</v>
      </c>
      <c r="P101" s="37">
        <f>IF(AG101="5",J101,0)</f>
        <v>0</v>
      </c>
      <c r="R101" s="37">
        <f>IF(AG101="1",H101,0)</f>
        <v>0</v>
      </c>
      <c r="S101" s="37">
        <f>IF(AG101="1",I101,0)</f>
        <v>0</v>
      </c>
      <c r="T101" s="37">
        <f>IF(AG101="7",H101,0)</f>
        <v>0</v>
      </c>
      <c r="U101" s="37">
        <f>IF(AG101="7",I101,0)</f>
        <v>0</v>
      </c>
      <c r="V101" s="37">
        <f>IF(AG101="2",H101,0)</f>
        <v>0</v>
      </c>
      <c r="W101" s="37">
        <f>IF(AG101="2",I101,0)</f>
        <v>0</v>
      </c>
      <c r="X101" s="37">
        <f>IF(AG101="0",J101,0)</f>
        <v>0</v>
      </c>
      <c r="Y101" s="28" t="s">
        <v>69</v>
      </c>
      <c r="Z101" s="18">
        <f>IF(AD101=0,J101,0)</f>
        <v>0</v>
      </c>
      <c r="AA101" s="18">
        <f>IF(AD101=15,J101,0)</f>
        <v>0</v>
      </c>
      <c r="AB101" s="18">
        <f>IF(AD101=21,J101,0)</f>
        <v>0</v>
      </c>
      <c r="AD101" s="37">
        <v>21</v>
      </c>
      <c r="AE101" s="37">
        <f>G101*0.0000228310502283105</f>
        <v>0</v>
      </c>
      <c r="AF101" s="37">
        <f>G101*(1-0.0000228310502283105)</f>
        <v>0</v>
      </c>
      <c r="AG101" s="33" t="s">
        <v>7</v>
      </c>
      <c r="AM101" s="37">
        <f>F101*AE101</f>
        <v>0</v>
      </c>
      <c r="AN101" s="37">
        <f>F101*AF101</f>
        <v>0</v>
      </c>
      <c r="AO101" s="38" t="s">
        <v>235</v>
      </c>
      <c r="AP101" s="38" t="s">
        <v>244</v>
      </c>
      <c r="AQ101" s="28" t="s">
        <v>250</v>
      </c>
      <c r="AS101" s="37">
        <f>AM101+AN101</f>
        <v>0</v>
      </c>
      <c r="AT101" s="37">
        <f>G101/(100-AU101)*100</f>
        <v>0</v>
      </c>
      <c r="AU101" s="37">
        <v>0</v>
      </c>
      <c r="AV101" s="37">
        <f>L101</f>
        <v>0</v>
      </c>
    </row>
    <row r="102" spans="1:48">
      <c r="D102" s="58" t="s">
        <v>351</v>
      </c>
      <c r="F102" s="19">
        <v>1</v>
      </c>
    </row>
    <row r="103" spans="1:48">
      <c r="A103" s="62" t="s">
        <v>41</v>
      </c>
      <c r="B103" s="7"/>
      <c r="C103" s="62" t="s">
        <v>97</v>
      </c>
      <c r="D103" s="7" t="s">
        <v>163</v>
      </c>
      <c r="E103" s="7" t="s">
        <v>201</v>
      </c>
      <c r="F103" s="20">
        <v>4</v>
      </c>
      <c r="G103" s="20">
        <v>0</v>
      </c>
      <c r="H103" s="20">
        <f>F103*AE103</f>
        <v>0</v>
      </c>
      <c r="I103" s="20">
        <f>J103-H103</f>
        <v>0</v>
      </c>
      <c r="J103" s="20">
        <f>F103*G103</f>
        <v>0</v>
      </c>
      <c r="K103" s="20">
        <v>0</v>
      </c>
      <c r="L103" s="20">
        <f>F103*K103</f>
        <v>0</v>
      </c>
      <c r="M103" s="34" t="s">
        <v>303</v>
      </c>
      <c r="P103" s="37">
        <f>IF(AG103="5",J103,0)</f>
        <v>0</v>
      </c>
      <c r="R103" s="37">
        <f>IF(AG103="1",H103,0)</f>
        <v>0</v>
      </c>
      <c r="S103" s="37">
        <f>IF(AG103="1",I103,0)</f>
        <v>0</v>
      </c>
      <c r="T103" s="37">
        <f>IF(AG103="7",H103,0)</f>
        <v>0</v>
      </c>
      <c r="U103" s="37">
        <f>IF(AG103="7",I103,0)</f>
        <v>0</v>
      </c>
      <c r="V103" s="37">
        <f>IF(AG103="2",H103,0)</f>
        <v>0</v>
      </c>
      <c r="W103" s="37">
        <f>IF(AG103="2",I103,0)</f>
        <v>0</v>
      </c>
      <c r="X103" s="37">
        <f>IF(AG103="0",J103,0)</f>
        <v>0</v>
      </c>
      <c r="Y103" s="28" t="s">
        <v>69</v>
      </c>
      <c r="Z103" s="20">
        <f>IF(AD103=0,J103,0)</f>
        <v>0</v>
      </c>
      <c r="AA103" s="20">
        <f>IF(AD103=15,J103,0)</f>
        <v>0</v>
      </c>
      <c r="AB103" s="20">
        <f>IF(AD103=21,J103,0)</f>
        <v>0</v>
      </c>
      <c r="AD103" s="37">
        <v>21</v>
      </c>
      <c r="AE103" s="37">
        <f>G103*1</f>
        <v>0</v>
      </c>
      <c r="AF103" s="37">
        <f>G103*(1-1)</f>
        <v>0</v>
      </c>
      <c r="AG103" s="34" t="s">
        <v>7</v>
      </c>
      <c r="AM103" s="37">
        <f>F103*AE103</f>
        <v>0</v>
      </c>
      <c r="AN103" s="37">
        <f>F103*AF103</f>
        <v>0</v>
      </c>
      <c r="AO103" s="38" t="s">
        <v>235</v>
      </c>
      <c r="AP103" s="38" t="s">
        <v>244</v>
      </c>
      <c r="AQ103" s="28" t="s">
        <v>250</v>
      </c>
      <c r="AS103" s="37">
        <f>AM103+AN103</f>
        <v>0</v>
      </c>
      <c r="AT103" s="37">
        <f>G103/(100-AU103)*100</f>
        <v>0</v>
      </c>
      <c r="AU103" s="37">
        <v>0</v>
      </c>
      <c r="AV103" s="37">
        <f>L103</f>
        <v>0</v>
      </c>
    </row>
    <row r="104" spans="1:48">
      <c r="D104" s="16" t="s">
        <v>8</v>
      </c>
      <c r="F104" s="19">
        <v>4</v>
      </c>
    </row>
    <row r="105" spans="1:48">
      <c r="A105" s="59" t="s">
        <v>42</v>
      </c>
      <c r="B105" s="6"/>
      <c r="C105" s="59" t="s">
        <v>98</v>
      </c>
      <c r="D105" s="6" t="s">
        <v>164</v>
      </c>
      <c r="E105" s="6" t="s">
        <v>200</v>
      </c>
      <c r="F105" s="18">
        <v>4</v>
      </c>
      <c r="G105" s="18">
        <v>0</v>
      </c>
      <c r="H105" s="18">
        <f>F105*AE105</f>
        <v>0</v>
      </c>
      <c r="I105" s="18">
        <f>J105-H105</f>
        <v>0</v>
      </c>
      <c r="J105" s="18">
        <f>F105*G105</f>
        <v>0</v>
      </c>
      <c r="K105" s="18">
        <v>0</v>
      </c>
      <c r="L105" s="18">
        <f>F105*K105</f>
        <v>0</v>
      </c>
      <c r="M105" s="33" t="s">
        <v>303</v>
      </c>
      <c r="P105" s="37">
        <f>IF(AG105="5",J105,0)</f>
        <v>0</v>
      </c>
      <c r="R105" s="37">
        <f>IF(AG105="1",H105,0)</f>
        <v>0</v>
      </c>
      <c r="S105" s="37">
        <f>IF(AG105="1",I105,0)</f>
        <v>0</v>
      </c>
      <c r="T105" s="37">
        <f>IF(AG105="7",H105,0)</f>
        <v>0</v>
      </c>
      <c r="U105" s="37">
        <f>IF(AG105="7",I105,0)</f>
        <v>0</v>
      </c>
      <c r="V105" s="37">
        <f>IF(AG105="2",H105,0)</f>
        <v>0</v>
      </c>
      <c r="W105" s="37">
        <f>IF(AG105="2",I105,0)</f>
        <v>0</v>
      </c>
      <c r="X105" s="37">
        <f>IF(AG105="0",J105,0)</f>
        <v>0</v>
      </c>
      <c r="Y105" s="28" t="s">
        <v>69</v>
      </c>
      <c r="Z105" s="18">
        <f>IF(AD105=0,J105,0)</f>
        <v>0</v>
      </c>
      <c r="AA105" s="18">
        <f>IF(AD105=15,J105,0)</f>
        <v>0</v>
      </c>
      <c r="AB105" s="18">
        <f>IF(AD105=21,J105,0)</f>
        <v>0</v>
      </c>
      <c r="AD105" s="37">
        <v>21</v>
      </c>
      <c r="AE105" s="37">
        <f>G105*0</f>
        <v>0</v>
      </c>
      <c r="AF105" s="37">
        <f>G105*(1-0)</f>
        <v>0</v>
      </c>
      <c r="AG105" s="33" t="s">
        <v>7</v>
      </c>
      <c r="AM105" s="37">
        <f>F105*AE105</f>
        <v>0</v>
      </c>
      <c r="AN105" s="37">
        <f>F105*AF105</f>
        <v>0</v>
      </c>
      <c r="AO105" s="38" t="s">
        <v>235</v>
      </c>
      <c r="AP105" s="38" t="s">
        <v>244</v>
      </c>
      <c r="AQ105" s="28" t="s">
        <v>250</v>
      </c>
      <c r="AS105" s="37">
        <f>AM105+AN105</f>
        <v>0</v>
      </c>
      <c r="AT105" s="37">
        <f>G105/(100-AU105)*100</f>
        <v>0</v>
      </c>
      <c r="AU105" s="37">
        <v>0</v>
      </c>
      <c r="AV105" s="37">
        <f>L105</f>
        <v>0</v>
      </c>
    </row>
    <row r="106" spans="1:48">
      <c r="D106" s="16" t="s">
        <v>8</v>
      </c>
      <c r="F106" s="19">
        <v>4</v>
      </c>
    </row>
    <row r="107" spans="1:48">
      <c r="A107" s="62" t="s">
        <v>43</v>
      </c>
      <c r="B107" s="7"/>
      <c r="C107" s="7" t="s">
        <v>99</v>
      </c>
      <c r="D107" s="62" t="s">
        <v>352</v>
      </c>
      <c r="E107" s="7" t="s">
        <v>200</v>
      </c>
      <c r="F107" s="20">
        <v>3</v>
      </c>
      <c r="G107" s="20">
        <v>0</v>
      </c>
      <c r="H107" s="20">
        <f>F107*AE107</f>
        <v>0</v>
      </c>
      <c r="I107" s="20">
        <f>J107-H107</f>
        <v>0</v>
      </c>
      <c r="J107" s="20">
        <f>F107*G107</f>
        <v>0</v>
      </c>
      <c r="K107" s="20">
        <v>2.3E-2</v>
      </c>
      <c r="L107" s="20">
        <f>F107*K107</f>
        <v>6.9000000000000006E-2</v>
      </c>
      <c r="M107" s="34" t="s">
        <v>303</v>
      </c>
      <c r="P107" s="37">
        <f>IF(AG107="5",J107,0)</f>
        <v>0</v>
      </c>
      <c r="R107" s="37">
        <f>IF(AG107="1",H107,0)</f>
        <v>0</v>
      </c>
      <c r="S107" s="37">
        <f>IF(AG107="1",I107,0)</f>
        <v>0</v>
      </c>
      <c r="T107" s="37">
        <f>IF(AG107="7",H107,0)</f>
        <v>0</v>
      </c>
      <c r="U107" s="37">
        <f>IF(AG107="7",I107,0)</f>
        <v>0</v>
      </c>
      <c r="V107" s="37">
        <f>IF(AG107="2",H107,0)</f>
        <v>0</v>
      </c>
      <c r="W107" s="37">
        <f>IF(AG107="2",I107,0)</f>
        <v>0</v>
      </c>
      <c r="X107" s="37">
        <f>IF(AG107="0",J107,0)</f>
        <v>0</v>
      </c>
      <c r="Y107" s="28" t="s">
        <v>69</v>
      </c>
      <c r="Z107" s="20">
        <f>IF(AD107=0,J107,0)</f>
        <v>0</v>
      </c>
      <c r="AA107" s="20">
        <f>IF(AD107=15,J107,0)</f>
        <v>0</v>
      </c>
      <c r="AB107" s="20">
        <f>IF(AD107=21,J107,0)</f>
        <v>0</v>
      </c>
      <c r="AD107" s="37">
        <v>21</v>
      </c>
      <c r="AE107" s="37">
        <f>G107*1</f>
        <v>0</v>
      </c>
      <c r="AF107" s="37">
        <f>G107*(1-1)</f>
        <v>0</v>
      </c>
      <c r="AG107" s="34" t="s">
        <v>7</v>
      </c>
      <c r="AM107" s="37">
        <f>F107*AE107</f>
        <v>0</v>
      </c>
      <c r="AN107" s="37">
        <f>F107*AF107</f>
        <v>0</v>
      </c>
      <c r="AO107" s="38" t="s">
        <v>235</v>
      </c>
      <c r="AP107" s="38" t="s">
        <v>244</v>
      </c>
      <c r="AQ107" s="28" t="s">
        <v>250</v>
      </c>
      <c r="AS107" s="37">
        <f>AM107+AN107</f>
        <v>0</v>
      </c>
      <c r="AT107" s="37">
        <f>G107/(100-AU107)*100</f>
        <v>0</v>
      </c>
      <c r="AU107" s="37">
        <v>0</v>
      </c>
      <c r="AV107" s="37">
        <f>L107</f>
        <v>6.9000000000000006E-2</v>
      </c>
    </row>
    <row r="108" spans="1:48">
      <c r="D108" s="58" t="s">
        <v>9</v>
      </c>
      <c r="F108" s="19">
        <v>1</v>
      </c>
    </row>
    <row r="109" spans="1:48">
      <c r="A109" s="62" t="s">
        <v>44</v>
      </c>
      <c r="B109" s="7"/>
      <c r="C109" s="7" t="s">
        <v>100</v>
      </c>
      <c r="D109" s="62" t="s">
        <v>353</v>
      </c>
      <c r="E109" s="7" t="s">
        <v>200</v>
      </c>
      <c r="F109" s="20">
        <v>3</v>
      </c>
      <c r="G109" s="20">
        <v>0</v>
      </c>
      <c r="H109" s="20">
        <f>F109*AE109</f>
        <v>0</v>
      </c>
      <c r="I109" s="20">
        <f>J109-H109</f>
        <v>0</v>
      </c>
      <c r="J109" s="20">
        <f>F109*G109</f>
        <v>0</v>
      </c>
      <c r="K109" s="20">
        <v>6.0000000000000001E-3</v>
      </c>
      <c r="L109" s="20">
        <f>F109*K109</f>
        <v>1.8000000000000002E-2</v>
      </c>
      <c r="M109" s="34" t="s">
        <v>303</v>
      </c>
      <c r="P109" s="37">
        <f>IF(AG109="5",J109,0)</f>
        <v>0</v>
      </c>
      <c r="R109" s="37">
        <f>IF(AG109="1",H109,0)</f>
        <v>0</v>
      </c>
      <c r="S109" s="37">
        <f>IF(AG109="1",I109,0)</f>
        <v>0</v>
      </c>
      <c r="T109" s="37">
        <f>IF(AG109="7",H109,0)</f>
        <v>0</v>
      </c>
      <c r="U109" s="37">
        <f>IF(AG109="7",I109,0)</f>
        <v>0</v>
      </c>
      <c r="V109" s="37">
        <f>IF(AG109="2",H109,0)</f>
        <v>0</v>
      </c>
      <c r="W109" s="37">
        <f>IF(AG109="2",I109,0)</f>
        <v>0</v>
      </c>
      <c r="X109" s="37">
        <f>IF(AG109="0",J109,0)</f>
        <v>0</v>
      </c>
      <c r="Y109" s="28" t="s">
        <v>69</v>
      </c>
      <c r="Z109" s="20">
        <f>IF(AD109=0,J109,0)</f>
        <v>0</v>
      </c>
      <c r="AA109" s="20">
        <f>IF(AD109=15,J109,0)</f>
        <v>0</v>
      </c>
      <c r="AB109" s="20">
        <f>IF(AD109=21,J109,0)</f>
        <v>0</v>
      </c>
      <c r="AD109" s="37">
        <v>21</v>
      </c>
      <c r="AE109" s="37">
        <f>G109*1</f>
        <v>0</v>
      </c>
      <c r="AF109" s="37">
        <f>G109*(1-1)</f>
        <v>0</v>
      </c>
      <c r="AG109" s="34" t="s">
        <v>7</v>
      </c>
      <c r="AM109" s="37">
        <f>F109*AE109</f>
        <v>0</v>
      </c>
      <c r="AN109" s="37">
        <f>F109*AF109</f>
        <v>0</v>
      </c>
      <c r="AO109" s="38" t="s">
        <v>235</v>
      </c>
      <c r="AP109" s="38" t="s">
        <v>244</v>
      </c>
      <c r="AQ109" s="28" t="s">
        <v>250</v>
      </c>
      <c r="AS109" s="37">
        <f>AM109+AN109</f>
        <v>0</v>
      </c>
      <c r="AT109" s="37">
        <f>G109/(100-AU109)*100</f>
        <v>0</v>
      </c>
      <c r="AU109" s="37">
        <v>0</v>
      </c>
      <c r="AV109" s="37">
        <f>L109</f>
        <v>1.8000000000000002E-2</v>
      </c>
    </row>
    <row r="110" spans="1:48">
      <c r="D110" s="16" t="s">
        <v>7</v>
      </c>
      <c r="F110" s="19">
        <v>3</v>
      </c>
    </row>
    <row r="111" spans="1:48">
      <c r="A111" s="59">
        <f>A109+1</f>
        <v>39</v>
      </c>
      <c r="B111" s="6"/>
      <c r="C111" s="59" t="s">
        <v>101</v>
      </c>
      <c r="D111" s="6" t="s">
        <v>166</v>
      </c>
      <c r="E111" s="6" t="s">
        <v>200</v>
      </c>
      <c r="F111" s="18">
        <v>3</v>
      </c>
      <c r="G111" s="18">
        <v>0</v>
      </c>
      <c r="H111" s="18">
        <f>F111*AE111</f>
        <v>0</v>
      </c>
      <c r="I111" s="18">
        <f>J111-H111</f>
        <v>0</v>
      </c>
      <c r="J111" s="18">
        <f>F111*G111</f>
        <v>0</v>
      </c>
      <c r="K111" s="18">
        <v>4.0999999999999999E-4</v>
      </c>
      <c r="L111" s="18">
        <f>F111*K111</f>
        <v>1.23E-3</v>
      </c>
      <c r="M111" s="33" t="s">
        <v>303</v>
      </c>
      <c r="P111" s="37">
        <f>IF(AG111="5",J111,0)</f>
        <v>0</v>
      </c>
      <c r="R111" s="37">
        <f>IF(AG111="1",H111,0)</f>
        <v>0</v>
      </c>
      <c r="S111" s="37">
        <f>IF(AG111="1",I111,0)</f>
        <v>0</v>
      </c>
      <c r="T111" s="37">
        <f>IF(AG111="7",H111,0)</f>
        <v>0</v>
      </c>
      <c r="U111" s="37">
        <f>IF(AG111="7",I111,0)</f>
        <v>0</v>
      </c>
      <c r="V111" s="37">
        <f>IF(AG111="2",H111,0)</f>
        <v>0</v>
      </c>
      <c r="W111" s="37">
        <f>IF(AG111="2",I111,0)</f>
        <v>0</v>
      </c>
      <c r="X111" s="37">
        <f>IF(AG111="0",J111,0)</f>
        <v>0</v>
      </c>
      <c r="Y111" s="28" t="s">
        <v>69</v>
      </c>
      <c r="Z111" s="18">
        <f>IF(AD111=0,J111,0)</f>
        <v>0</v>
      </c>
      <c r="AA111" s="18">
        <f>IF(AD111=15,J111,0)</f>
        <v>0</v>
      </c>
      <c r="AB111" s="18">
        <f>IF(AD111=21,J111,0)</f>
        <v>0</v>
      </c>
      <c r="AD111" s="37">
        <v>21</v>
      </c>
      <c r="AE111" s="37">
        <f>G111*0.173975757575758</f>
        <v>0</v>
      </c>
      <c r="AF111" s="37">
        <f>G111*(1-0.173975757575758)</f>
        <v>0</v>
      </c>
      <c r="AG111" s="33" t="s">
        <v>7</v>
      </c>
      <c r="AM111" s="37">
        <f>F111*AE111</f>
        <v>0</v>
      </c>
      <c r="AN111" s="37">
        <f>F111*AF111</f>
        <v>0</v>
      </c>
      <c r="AO111" s="38" t="s">
        <v>235</v>
      </c>
      <c r="AP111" s="38" t="s">
        <v>244</v>
      </c>
      <c r="AQ111" s="28" t="s">
        <v>250</v>
      </c>
      <c r="AS111" s="37">
        <f>AM111+AN111</f>
        <v>0</v>
      </c>
      <c r="AT111" s="37">
        <f>G111/(100-AU111)*100</f>
        <v>0</v>
      </c>
      <c r="AU111" s="37">
        <v>0</v>
      </c>
      <c r="AV111" s="37">
        <f>L111</f>
        <v>1.23E-3</v>
      </c>
    </row>
    <row r="112" spans="1:48">
      <c r="D112" s="16" t="s">
        <v>165</v>
      </c>
      <c r="F112" s="19">
        <v>3</v>
      </c>
    </row>
    <row r="113" spans="1:48">
      <c r="A113" s="62">
        <f>A111+1</f>
        <v>40</v>
      </c>
      <c r="B113" s="7"/>
      <c r="C113" s="7" t="s">
        <v>102</v>
      </c>
      <c r="D113" s="7" t="s">
        <v>167</v>
      </c>
      <c r="E113" s="7" t="s">
        <v>200</v>
      </c>
      <c r="F113" s="20">
        <v>3</v>
      </c>
      <c r="G113" s="20">
        <v>0</v>
      </c>
      <c r="H113" s="20">
        <f>F113*AE113</f>
        <v>0</v>
      </c>
      <c r="I113" s="20">
        <f>J113-H113</f>
        <v>0</v>
      </c>
      <c r="J113" s="20">
        <f>F113*G113</f>
        <v>0</v>
      </c>
      <c r="K113" s="20">
        <v>8.9999999999999998E-4</v>
      </c>
      <c r="L113" s="20">
        <f>F113*K113</f>
        <v>2.7000000000000001E-3</v>
      </c>
      <c r="M113" s="34" t="s">
        <v>303</v>
      </c>
      <c r="P113" s="37">
        <f>IF(AG113="5",J113,0)</f>
        <v>0</v>
      </c>
      <c r="R113" s="37">
        <f>IF(AG113="1",H113,0)</f>
        <v>0</v>
      </c>
      <c r="S113" s="37">
        <f>IF(AG113="1",I113,0)</f>
        <v>0</v>
      </c>
      <c r="T113" s="37">
        <f>IF(AG113="7",H113,0)</f>
        <v>0</v>
      </c>
      <c r="U113" s="37">
        <f>IF(AG113="7",I113,0)</f>
        <v>0</v>
      </c>
      <c r="V113" s="37">
        <f>IF(AG113="2",H113,0)</f>
        <v>0</v>
      </c>
      <c r="W113" s="37">
        <f>IF(AG113="2",I113,0)</f>
        <v>0</v>
      </c>
      <c r="X113" s="37">
        <f>IF(AG113="0",J113,0)</f>
        <v>0</v>
      </c>
      <c r="Y113" s="28" t="s">
        <v>69</v>
      </c>
      <c r="Z113" s="20">
        <f>IF(AD113=0,J113,0)</f>
        <v>0</v>
      </c>
      <c r="AA113" s="20">
        <f>IF(AD113=15,J113,0)</f>
        <v>0</v>
      </c>
      <c r="AB113" s="20">
        <f>IF(AD113=21,J113,0)</f>
        <v>0</v>
      </c>
      <c r="AD113" s="37">
        <v>21</v>
      </c>
      <c r="AE113" s="37">
        <f>G113*1</f>
        <v>0</v>
      </c>
      <c r="AF113" s="37">
        <f>G113*(1-1)</f>
        <v>0</v>
      </c>
      <c r="AG113" s="34" t="s">
        <v>7</v>
      </c>
      <c r="AM113" s="37">
        <f>F113*AE113</f>
        <v>0</v>
      </c>
      <c r="AN113" s="37">
        <f>F113*AF113</f>
        <v>0</v>
      </c>
      <c r="AO113" s="38" t="s">
        <v>235</v>
      </c>
      <c r="AP113" s="38" t="s">
        <v>244</v>
      </c>
      <c r="AQ113" s="28" t="s">
        <v>250</v>
      </c>
      <c r="AS113" s="37">
        <f>AM113+AN113</f>
        <v>0</v>
      </c>
      <c r="AT113" s="37">
        <f>G113/(100-AU113)*100</f>
        <v>0</v>
      </c>
      <c r="AU113" s="37">
        <v>0</v>
      </c>
      <c r="AV113" s="37">
        <f>L113</f>
        <v>2.7000000000000001E-3</v>
      </c>
    </row>
    <row r="114" spans="1:48">
      <c r="D114" s="58" t="s">
        <v>354</v>
      </c>
      <c r="F114" s="19">
        <v>3</v>
      </c>
    </row>
    <row r="115" spans="1:48">
      <c r="A115" s="7">
        <f>A113+1</f>
        <v>41</v>
      </c>
      <c r="B115" s="7"/>
      <c r="C115" s="7" t="s">
        <v>103</v>
      </c>
      <c r="D115" s="7" t="s">
        <v>168</v>
      </c>
      <c r="E115" s="7" t="s">
        <v>200</v>
      </c>
      <c r="F115" s="20">
        <v>3</v>
      </c>
      <c r="G115" s="20">
        <v>0</v>
      </c>
      <c r="H115" s="20">
        <f>F115*AE115</f>
        <v>0</v>
      </c>
      <c r="I115" s="20">
        <f>J115-H115</f>
        <v>0</v>
      </c>
      <c r="J115" s="20">
        <f>F115*G115</f>
        <v>0</v>
      </c>
      <c r="K115" s="20">
        <v>1.1299999999999999E-2</v>
      </c>
      <c r="L115" s="20">
        <f>F115*K115</f>
        <v>3.39E-2</v>
      </c>
      <c r="M115" s="34" t="s">
        <v>303</v>
      </c>
      <c r="P115" s="37">
        <f>IF(AG115="5",J115,0)</f>
        <v>0</v>
      </c>
      <c r="R115" s="37">
        <f>IF(AG115="1",H115,0)</f>
        <v>0</v>
      </c>
      <c r="S115" s="37">
        <f>IF(AG115="1",I115,0)</f>
        <v>0</v>
      </c>
      <c r="T115" s="37">
        <f>IF(AG115="7",H115,0)</f>
        <v>0</v>
      </c>
      <c r="U115" s="37">
        <f>IF(AG115="7",I115,0)</f>
        <v>0</v>
      </c>
      <c r="V115" s="37">
        <f>IF(AG115="2",H115,0)</f>
        <v>0</v>
      </c>
      <c r="W115" s="37">
        <f>IF(AG115="2",I115,0)</f>
        <v>0</v>
      </c>
      <c r="X115" s="37">
        <f>IF(AG115="0",J115,0)</f>
        <v>0</v>
      </c>
      <c r="Y115" s="28" t="s">
        <v>69</v>
      </c>
      <c r="Z115" s="20">
        <f>IF(AD115=0,J115,0)</f>
        <v>0</v>
      </c>
      <c r="AA115" s="20">
        <f>IF(AD115=15,J115,0)</f>
        <v>0</v>
      </c>
      <c r="AB115" s="20">
        <f>IF(AD115=21,J115,0)</f>
        <v>0</v>
      </c>
      <c r="AD115" s="37">
        <v>21</v>
      </c>
      <c r="AE115" s="37">
        <f>G115*1</f>
        <v>0</v>
      </c>
      <c r="AF115" s="37">
        <f>G115*(1-1)</f>
        <v>0</v>
      </c>
      <c r="AG115" s="34" t="s">
        <v>7</v>
      </c>
      <c r="AM115" s="37">
        <f>F115*AE115</f>
        <v>0</v>
      </c>
      <c r="AN115" s="37">
        <f>F115*AF115</f>
        <v>0</v>
      </c>
      <c r="AO115" s="38" t="s">
        <v>235</v>
      </c>
      <c r="AP115" s="38" t="s">
        <v>244</v>
      </c>
      <c r="AQ115" s="28" t="s">
        <v>250</v>
      </c>
      <c r="AS115" s="37">
        <f>AM115+AN115</f>
        <v>0</v>
      </c>
      <c r="AT115" s="37">
        <f>G115/(100-AU115)*100</f>
        <v>0</v>
      </c>
      <c r="AU115" s="37">
        <v>0</v>
      </c>
      <c r="AV115" s="37">
        <f>L115</f>
        <v>3.39E-2</v>
      </c>
    </row>
    <row r="116" spans="1:48">
      <c r="D116" s="58" t="s">
        <v>9</v>
      </c>
      <c r="F116" s="19">
        <v>3</v>
      </c>
    </row>
    <row r="117" spans="1:48">
      <c r="A117" s="7">
        <f>A115+1</f>
        <v>42</v>
      </c>
      <c r="B117" s="7"/>
      <c r="C117" s="7" t="s">
        <v>113</v>
      </c>
      <c r="D117" s="7" t="s">
        <v>180</v>
      </c>
      <c r="E117" s="7" t="s">
        <v>201</v>
      </c>
      <c r="F117" s="20">
        <v>13</v>
      </c>
      <c r="G117" s="20">
        <v>0</v>
      </c>
      <c r="H117" s="20">
        <f>F117*AE117</f>
        <v>0</v>
      </c>
      <c r="I117" s="20">
        <f>J117-H117</f>
        <v>0</v>
      </c>
      <c r="J117" s="20">
        <f>F117*G117</f>
        <v>0</v>
      </c>
      <c r="K117" s="20">
        <v>8.0000000000000004E-4</v>
      </c>
      <c r="L117" s="20">
        <f>F117*K117</f>
        <v>1.0400000000000001E-2</v>
      </c>
      <c r="M117" s="34" t="s">
        <v>303</v>
      </c>
      <c r="P117" s="37">
        <f>IF(AG117="5",J117,0)</f>
        <v>0</v>
      </c>
      <c r="R117" s="37">
        <f>IF(AG117="1",H117,0)</f>
        <v>0</v>
      </c>
      <c r="S117" s="37">
        <f>IF(AG117="1",I117,0)</f>
        <v>0</v>
      </c>
      <c r="T117" s="37">
        <f>IF(AG117="7",H117,0)</f>
        <v>0</v>
      </c>
      <c r="U117" s="37">
        <f>IF(AG117="7",I117,0)</f>
        <v>0</v>
      </c>
      <c r="V117" s="37">
        <f>IF(AG117="2",H117,0)</f>
        <v>0</v>
      </c>
      <c r="W117" s="37">
        <f>IF(AG117="2",I117,0)</f>
        <v>0</v>
      </c>
      <c r="X117" s="37">
        <f>IF(AG117="0",J117,0)</f>
        <v>0</v>
      </c>
      <c r="Y117" s="28" t="s">
        <v>70</v>
      </c>
      <c r="Z117" s="20">
        <f>IF(AD117=0,J117,0)</f>
        <v>0</v>
      </c>
      <c r="AA117" s="20">
        <f>IF(AD117=15,J117,0)</f>
        <v>0</v>
      </c>
      <c r="AB117" s="20">
        <f>IF(AD117=21,J117,0)</f>
        <v>0</v>
      </c>
      <c r="AD117" s="37">
        <v>21</v>
      </c>
      <c r="AE117" s="37">
        <f>G117*1</f>
        <v>0</v>
      </c>
      <c r="AF117" s="37">
        <f>G117*(1-1)</f>
        <v>0</v>
      </c>
      <c r="AG117" s="34" t="s">
        <v>7</v>
      </c>
      <c r="AM117" s="37">
        <f>F117*AE117</f>
        <v>0</v>
      </c>
      <c r="AN117" s="37">
        <f>F117*AF117</f>
        <v>0</v>
      </c>
      <c r="AO117" s="38" t="s">
        <v>236</v>
      </c>
      <c r="AP117" s="38" t="s">
        <v>246</v>
      </c>
      <c r="AQ117" s="28" t="s">
        <v>251</v>
      </c>
      <c r="AS117" s="37">
        <f>AM117+AN117</f>
        <v>0</v>
      </c>
      <c r="AT117" s="37">
        <f>G117/(100-AU117)*100</f>
        <v>0</v>
      </c>
      <c r="AU117" s="37">
        <v>0</v>
      </c>
      <c r="AV117" s="37">
        <f>L117</f>
        <v>1.0400000000000001E-2</v>
      </c>
    </row>
    <row r="118" spans="1:48">
      <c r="D118" s="58" t="s">
        <v>19</v>
      </c>
      <c r="F118" s="19">
        <v>13</v>
      </c>
    </row>
    <row r="119" spans="1:48">
      <c r="A119" s="7">
        <f>A117+1</f>
        <v>43</v>
      </c>
      <c r="B119" s="7"/>
      <c r="C119" s="7" t="s">
        <v>114</v>
      </c>
      <c r="D119" s="7" t="s">
        <v>181</v>
      </c>
      <c r="E119" s="7" t="s">
        <v>201</v>
      </c>
      <c r="F119" s="20">
        <v>13</v>
      </c>
      <c r="G119" s="20">
        <v>0</v>
      </c>
      <c r="H119" s="20">
        <f>F119*AE119</f>
        <v>0</v>
      </c>
      <c r="I119" s="20">
        <f>J119-H119</f>
        <v>0</v>
      </c>
      <c r="J119" s="20">
        <f>F119*G119</f>
        <v>0</v>
      </c>
      <c r="K119" s="20">
        <v>3.16E-3</v>
      </c>
      <c r="L119" s="20">
        <f>F119*K119</f>
        <v>4.1079999999999998E-2</v>
      </c>
      <c r="M119" s="34" t="s">
        <v>303</v>
      </c>
      <c r="P119" s="37">
        <f>IF(AG119="5",J119,0)</f>
        <v>0</v>
      </c>
      <c r="R119" s="37">
        <f>IF(AG119="1",H119,0)</f>
        <v>0</v>
      </c>
      <c r="S119" s="37">
        <f>IF(AG119="1",I119,0)</f>
        <v>0</v>
      </c>
      <c r="T119" s="37">
        <f>IF(AG119="7",H119,0)</f>
        <v>0</v>
      </c>
      <c r="U119" s="37">
        <f>IF(AG119="7",I119,0)</f>
        <v>0</v>
      </c>
      <c r="V119" s="37">
        <f>IF(AG119="2",H119,0)</f>
        <v>0</v>
      </c>
      <c r="W119" s="37">
        <f>IF(AG119="2",I119,0)</f>
        <v>0</v>
      </c>
      <c r="X119" s="37">
        <f>IF(AG119="0",J119,0)</f>
        <v>0</v>
      </c>
      <c r="Y119" s="28" t="s">
        <v>70</v>
      </c>
      <c r="Z119" s="20">
        <f>IF(AD119=0,J119,0)</f>
        <v>0</v>
      </c>
      <c r="AA119" s="20">
        <f>IF(AD119=15,J119,0)</f>
        <v>0</v>
      </c>
      <c r="AB119" s="20">
        <f>IF(AD119=21,J119,0)</f>
        <v>0</v>
      </c>
      <c r="AD119" s="37">
        <v>21</v>
      </c>
      <c r="AE119" s="37">
        <f>G119*1</f>
        <v>0</v>
      </c>
      <c r="AF119" s="37">
        <f>G119*(1-1)</f>
        <v>0</v>
      </c>
      <c r="AG119" s="34" t="s">
        <v>7</v>
      </c>
      <c r="AM119" s="37">
        <f>F119*AE119</f>
        <v>0</v>
      </c>
      <c r="AN119" s="37">
        <f>F119*AF119</f>
        <v>0</v>
      </c>
      <c r="AO119" s="38" t="s">
        <v>236</v>
      </c>
      <c r="AP119" s="38" t="s">
        <v>246</v>
      </c>
      <c r="AQ119" s="28" t="s">
        <v>251</v>
      </c>
      <c r="AS119" s="37">
        <f>AM119+AN119</f>
        <v>0</v>
      </c>
      <c r="AT119" s="37">
        <f>G119/(100-AU119)*100</f>
        <v>0</v>
      </c>
      <c r="AU119" s="37">
        <v>0</v>
      </c>
      <c r="AV119" s="37">
        <f>L119</f>
        <v>4.1079999999999998E-2</v>
      </c>
    </row>
    <row r="120" spans="1:48">
      <c r="D120" s="58" t="s">
        <v>19</v>
      </c>
      <c r="F120" s="19">
        <v>13</v>
      </c>
    </row>
    <row r="121" spans="1:48">
      <c r="A121" s="7">
        <f>A119+1</f>
        <v>44</v>
      </c>
      <c r="B121" s="7"/>
      <c r="C121" s="7" t="s">
        <v>115</v>
      </c>
      <c r="D121" s="7" t="s">
        <v>182</v>
      </c>
      <c r="E121" s="7" t="s">
        <v>201</v>
      </c>
      <c r="F121" s="20">
        <v>13</v>
      </c>
      <c r="G121" s="20">
        <v>0</v>
      </c>
      <c r="H121" s="20">
        <f>F121*AE121</f>
        <v>0</v>
      </c>
      <c r="I121" s="20">
        <f>J121-H121</f>
        <v>0</v>
      </c>
      <c r="J121" s="20">
        <f>F121*G121</f>
        <v>0</v>
      </c>
      <c r="K121" s="20">
        <v>1.2999999999999999E-4</v>
      </c>
      <c r="L121" s="20">
        <f>F121*K121</f>
        <v>1.6899999999999999E-3</v>
      </c>
      <c r="M121" s="34" t="s">
        <v>303</v>
      </c>
      <c r="P121" s="37">
        <f>IF(AG121="5",J121,0)</f>
        <v>0</v>
      </c>
      <c r="R121" s="37">
        <f>IF(AG121="1",H121,0)</f>
        <v>0</v>
      </c>
      <c r="S121" s="37">
        <f>IF(AG121="1",I121,0)</f>
        <v>0</v>
      </c>
      <c r="T121" s="37">
        <f>IF(AG121="7",H121,0)</f>
        <v>0</v>
      </c>
      <c r="U121" s="37">
        <f>IF(AG121="7",I121,0)</f>
        <v>0</v>
      </c>
      <c r="V121" s="37">
        <f>IF(AG121="2",H121,0)</f>
        <v>0</v>
      </c>
      <c r="W121" s="37">
        <f>IF(AG121="2",I121,0)</f>
        <v>0</v>
      </c>
      <c r="X121" s="37">
        <f>IF(AG121="0",J121,0)</f>
        <v>0</v>
      </c>
      <c r="Y121" s="28" t="s">
        <v>70</v>
      </c>
      <c r="Z121" s="20">
        <f>IF(AD121=0,J121,0)</f>
        <v>0</v>
      </c>
      <c r="AA121" s="20">
        <f>IF(AD121=15,J121,0)</f>
        <v>0</v>
      </c>
      <c r="AB121" s="20">
        <f>IF(AD121=21,J121,0)</f>
        <v>0</v>
      </c>
      <c r="AD121" s="37">
        <v>21</v>
      </c>
      <c r="AE121" s="37">
        <f>G121*1</f>
        <v>0</v>
      </c>
      <c r="AF121" s="37">
        <f>G121*(1-1)</f>
        <v>0</v>
      </c>
      <c r="AG121" s="34" t="s">
        <v>7</v>
      </c>
      <c r="AM121" s="37">
        <f>F121*AE121</f>
        <v>0</v>
      </c>
      <c r="AN121" s="37">
        <f>F121*AF121</f>
        <v>0</v>
      </c>
      <c r="AO121" s="38" t="s">
        <v>236</v>
      </c>
      <c r="AP121" s="38" t="s">
        <v>246</v>
      </c>
      <c r="AQ121" s="28" t="s">
        <v>251</v>
      </c>
      <c r="AS121" s="37">
        <f>AM121+AN121</f>
        <v>0</v>
      </c>
      <c r="AT121" s="37">
        <f>G121/(100-AU121)*100</f>
        <v>0</v>
      </c>
      <c r="AU121" s="37">
        <v>0</v>
      </c>
      <c r="AV121" s="37">
        <f>L121</f>
        <v>1.6899999999999999E-3</v>
      </c>
    </row>
    <row r="122" spans="1:48">
      <c r="D122" s="58" t="s">
        <v>19</v>
      </c>
      <c r="F122" s="19">
        <v>13</v>
      </c>
    </row>
    <row r="123" spans="1:48">
      <c r="A123" s="6">
        <f>A121+1</f>
        <v>45</v>
      </c>
      <c r="B123" s="6"/>
      <c r="C123" s="59" t="s">
        <v>116</v>
      </c>
      <c r="D123" s="6" t="s">
        <v>183</v>
      </c>
      <c r="E123" s="6" t="s">
        <v>200</v>
      </c>
      <c r="F123" s="18">
        <v>13</v>
      </c>
      <c r="G123" s="18">
        <v>0</v>
      </c>
      <c r="H123" s="18">
        <f>F123*AE123</f>
        <v>0</v>
      </c>
      <c r="I123" s="18">
        <f>J123-H123</f>
        <v>0</v>
      </c>
      <c r="J123" s="18">
        <f>F123*G123</f>
        <v>0</v>
      </c>
      <c r="K123" s="18">
        <v>2.3000000000000001E-4</v>
      </c>
      <c r="L123" s="18">
        <f>F123*K123</f>
        <v>2.99E-3</v>
      </c>
      <c r="M123" s="33" t="s">
        <v>303</v>
      </c>
      <c r="P123" s="37">
        <f>IF(AG123="5",J123,0)</f>
        <v>0</v>
      </c>
      <c r="R123" s="37">
        <f>IF(AG123="1",H123,0)</f>
        <v>0</v>
      </c>
      <c r="S123" s="37">
        <f>IF(AG123="1",I123,0)</f>
        <v>0</v>
      </c>
      <c r="T123" s="37">
        <f>IF(AG123="7",H123,0)</f>
        <v>0</v>
      </c>
      <c r="U123" s="37">
        <f>IF(AG123="7",I123,0)</f>
        <v>0</v>
      </c>
      <c r="V123" s="37">
        <f>IF(AG123="2",H123,0)</f>
        <v>0</v>
      </c>
      <c r="W123" s="37">
        <f>IF(AG123="2",I123,0)</f>
        <v>0</v>
      </c>
      <c r="X123" s="37">
        <f>IF(AG123="0",J123,0)</f>
        <v>0</v>
      </c>
      <c r="Y123" s="28" t="s">
        <v>70</v>
      </c>
      <c r="Z123" s="18">
        <f>IF(AD123=0,J123,0)</f>
        <v>0</v>
      </c>
      <c r="AA123" s="18">
        <f>IF(AD123=15,J123,0)</f>
        <v>0</v>
      </c>
      <c r="AB123" s="18">
        <f>IF(AD123=21,J123,0)</f>
        <v>0</v>
      </c>
      <c r="AD123" s="37">
        <v>21</v>
      </c>
      <c r="AE123" s="37">
        <f>G123*0.116891615541922</f>
        <v>0</v>
      </c>
      <c r="AF123" s="37">
        <f>G123*(1-0.116891615541922)</f>
        <v>0</v>
      </c>
      <c r="AG123" s="33" t="s">
        <v>7</v>
      </c>
      <c r="AM123" s="37">
        <f>F123*AE123</f>
        <v>0</v>
      </c>
      <c r="AN123" s="37">
        <f>F123*AF123</f>
        <v>0</v>
      </c>
      <c r="AO123" s="38" t="s">
        <v>236</v>
      </c>
      <c r="AP123" s="38" t="s">
        <v>246</v>
      </c>
      <c r="AQ123" s="28" t="s">
        <v>251</v>
      </c>
      <c r="AS123" s="37">
        <f>AM123+AN123</f>
        <v>0</v>
      </c>
      <c r="AT123" s="37">
        <f>G123/(100-AU123)*100</f>
        <v>0</v>
      </c>
      <c r="AU123" s="37">
        <v>0</v>
      </c>
      <c r="AV123" s="37">
        <f>L123</f>
        <v>2.99E-3</v>
      </c>
    </row>
    <row r="124" spans="1:48">
      <c r="D124" s="58" t="s">
        <v>370</v>
      </c>
      <c r="F124" s="19">
        <v>13</v>
      </c>
    </row>
    <row r="125" spans="1:48">
      <c r="A125" s="7">
        <f>A123+1</f>
        <v>46</v>
      </c>
      <c r="B125" s="7"/>
      <c r="C125" s="7" t="s">
        <v>117</v>
      </c>
      <c r="D125" s="62" t="s">
        <v>371</v>
      </c>
      <c r="E125" s="7" t="s">
        <v>201</v>
      </c>
      <c r="F125" s="20">
        <v>13</v>
      </c>
      <c r="G125" s="20">
        <v>0</v>
      </c>
      <c r="H125" s="20">
        <f>F125*AE125</f>
        <v>0</v>
      </c>
      <c r="I125" s="20">
        <f>J125-H125</f>
        <v>0</v>
      </c>
      <c r="J125" s="20">
        <f>F125*G125</f>
        <v>0</v>
      </c>
      <c r="K125" s="20">
        <v>2.7000000000000001E-3</v>
      </c>
      <c r="L125" s="20">
        <f>F125*K125</f>
        <v>3.5099999999999999E-2</v>
      </c>
      <c r="M125" s="34" t="s">
        <v>303</v>
      </c>
      <c r="P125" s="37">
        <f>IF(AG125="5",J125,0)</f>
        <v>0</v>
      </c>
      <c r="R125" s="37">
        <f>IF(AG125="1",H125,0)</f>
        <v>0</v>
      </c>
      <c r="S125" s="37">
        <f>IF(AG125="1",I125,0)</f>
        <v>0</v>
      </c>
      <c r="T125" s="37">
        <f>IF(AG125="7",H125,0)</f>
        <v>0</v>
      </c>
      <c r="U125" s="37">
        <f>IF(AG125="7",I125,0)</f>
        <v>0</v>
      </c>
      <c r="V125" s="37">
        <f>IF(AG125="2",H125,0)</f>
        <v>0</v>
      </c>
      <c r="W125" s="37">
        <f>IF(AG125="2",I125,0)</f>
        <v>0</v>
      </c>
      <c r="X125" s="37">
        <f>IF(AG125="0",J125,0)</f>
        <v>0</v>
      </c>
      <c r="Y125" s="28" t="s">
        <v>70</v>
      </c>
      <c r="Z125" s="20">
        <f>IF(AD125=0,J125,0)</f>
        <v>0</v>
      </c>
      <c r="AA125" s="20">
        <f>IF(AD125=15,J125,0)</f>
        <v>0</v>
      </c>
      <c r="AB125" s="20">
        <f>IF(AD125=21,J125,0)</f>
        <v>0</v>
      </c>
      <c r="AD125" s="37">
        <v>21</v>
      </c>
      <c r="AE125" s="37">
        <f>G125*1</f>
        <v>0</v>
      </c>
      <c r="AF125" s="37">
        <f>G125*(1-1)</f>
        <v>0</v>
      </c>
      <c r="AG125" s="34" t="s">
        <v>7</v>
      </c>
      <c r="AM125" s="37">
        <f>F125*AE125</f>
        <v>0</v>
      </c>
      <c r="AN125" s="37">
        <f>F125*AF125</f>
        <v>0</v>
      </c>
      <c r="AO125" s="38" t="s">
        <v>236</v>
      </c>
      <c r="AP125" s="38" t="s">
        <v>246</v>
      </c>
      <c r="AQ125" s="28" t="s">
        <v>251</v>
      </c>
      <c r="AS125" s="37">
        <f>AM125+AN125</f>
        <v>0</v>
      </c>
      <c r="AT125" s="37">
        <f>G125/(100-AU125)*100</f>
        <v>0</v>
      </c>
      <c r="AU125" s="37">
        <v>0</v>
      </c>
      <c r="AV125" s="37">
        <f>L125</f>
        <v>3.5099999999999999E-2</v>
      </c>
    </row>
    <row r="126" spans="1:48">
      <c r="D126" s="58" t="s">
        <v>19</v>
      </c>
      <c r="F126" s="19">
        <v>13</v>
      </c>
    </row>
    <row r="127" spans="1:48">
      <c r="A127" s="6">
        <f>A125+1</f>
        <v>47</v>
      </c>
      <c r="B127" s="6"/>
      <c r="C127" s="6" t="s">
        <v>118</v>
      </c>
      <c r="D127" s="59" t="s">
        <v>372</v>
      </c>
      <c r="E127" s="6" t="s">
        <v>200</v>
      </c>
      <c r="F127" s="18">
        <v>13</v>
      </c>
      <c r="G127" s="18">
        <v>0</v>
      </c>
      <c r="H127" s="18">
        <f>F127*AE127</f>
        <v>0</v>
      </c>
      <c r="I127" s="18">
        <f>J127-H127</f>
        <v>0</v>
      </c>
      <c r="J127" s="18">
        <f>F127*G127</f>
        <v>0</v>
      </c>
      <c r="K127" s="18">
        <v>0</v>
      </c>
      <c r="L127" s="18">
        <f>F127*K127</f>
        <v>0</v>
      </c>
      <c r="M127" s="33" t="s">
        <v>303</v>
      </c>
      <c r="P127" s="37">
        <f>IF(AG127="5",J127,0)</f>
        <v>0</v>
      </c>
      <c r="R127" s="37">
        <f>IF(AG127="1",H127,0)</f>
        <v>0</v>
      </c>
      <c r="S127" s="37">
        <f>IF(AG127="1",I127,0)</f>
        <v>0</v>
      </c>
      <c r="T127" s="37">
        <f>IF(AG127="7",H127,0)</f>
        <v>0</v>
      </c>
      <c r="U127" s="37">
        <f>IF(AG127="7",I127,0)</f>
        <v>0</v>
      </c>
      <c r="V127" s="37">
        <f>IF(AG127="2",H127,0)</f>
        <v>0</v>
      </c>
      <c r="W127" s="37">
        <f>IF(AG127="2",I127,0)</f>
        <v>0</v>
      </c>
      <c r="X127" s="37">
        <f>IF(AG127="0",J127,0)</f>
        <v>0</v>
      </c>
      <c r="Y127" s="28" t="s">
        <v>70</v>
      </c>
      <c r="Z127" s="18">
        <f>IF(AD127=0,J127,0)</f>
        <v>0</v>
      </c>
      <c r="AA127" s="18">
        <f>IF(AD127=15,J127,0)</f>
        <v>0</v>
      </c>
      <c r="AB127" s="18">
        <f>IF(AD127=21,J127,0)</f>
        <v>0</v>
      </c>
      <c r="AD127" s="37">
        <v>21</v>
      </c>
      <c r="AE127" s="37">
        <f>G127*0</f>
        <v>0</v>
      </c>
      <c r="AF127" s="37">
        <f>G127*(1-0)</f>
        <v>0</v>
      </c>
      <c r="AG127" s="33" t="s">
        <v>7</v>
      </c>
      <c r="AM127" s="37">
        <f>F127*AE127</f>
        <v>0</v>
      </c>
      <c r="AN127" s="37">
        <f>F127*AF127</f>
        <v>0</v>
      </c>
      <c r="AO127" s="38" t="s">
        <v>236</v>
      </c>
      <c r="AP127" s="38" t="s">
        <v>246</v>
      </c>
      <c r="AQ127" s="28" t="s">
        <v>251</v>
      </c>
      <c r="AS127" s="37">
        <f>AM127+AN127</f>
        <v>0</v>
      </c>
      <c r="AT127" s="37">
        <f>G127/(100-AU127)*100</f>
        <v>0</v>
      </c>
      <c r="AU127" s="37">
        <v>0</v>
      </c>
      <c r="AV127" s="37">
        <f>L127</f>
        <v>0</v>
      </c>
    </row>
    <row r="128" spans="1:48">
      <c r="D128" s="58" t="s">
        <v>19</v>
      </c>
      <c r="F128" s="19">
        <v>13</v>
      </c>
    </row>
    <row r="129" spans="1:48">
      <c r="A129" s="7">
        <f>A127+1</f>
        <v>48</v>
      </c>
      <c r="B129" s="7"/>
      <c r="C129" s="7" t="s">
        <v>119</v>
      </c>
      <c r="D129" s="7" t="s">
        <v>184</v>
      </c>
      <c r="E129" s="7" t="s">
        <v>200</v>
      </c>
      <c r="F129" s="20">
        <v>13</v>
      </c>
      <c r="G129" s="20">
        <v>0</v>
      </c>
      <c r="H129" s="20">
        <f>F129*AE129</f>
        <v>0</v>
      </c>
      <c r="I129" s="20">
        <f>J129-H129</f>
        <v>0</v>
      </c>
      <c r="J129" s="20">
        <f>F129*G129</f>
        <v>0</v>
      </c>
      <c r="K129" s="20">
        <v>3.2000000000000003E-4</v>
      </c>
      <c r="L129" s="20">
        <f>F129*K129</f>
        <v>4.1600000000000005E-3</v>
      </c>
      <c r="M129" s="34" t="s">
        <v>303</v>
      </c>
      <c r="P129" s="37">
        <f>IF(AG129="5",J129,0)</f>
        <v>0</v>
      </c>
      <c r="R129" s="37">
        <f>IF(AG129="1",H129,0)</f>
        <v>0</v>
      </c>
      <c r="S129" s="37">
        <f>IF(AG129="1",I129,0)</f>
        <v>0</v>
      </c>
      <c r="T129" s="37">
        <f>IF(AG129="7",H129,0)</f>
        <v>0</v>
      </c>
      <c r="U129" s="37">
        <f>IF(AG129="7",I129,0)</f>
        <v>0</v>
      </c>
      <c r="V129" s="37">
        <f>IF(AG129="2",H129,0)</f>
        <v>0</v>
      </c>
      <c r="W129" s="37">
        <f>IF(AG129="2",I129,0)</f>
        <v>0</v>
      </c>
      <c r="X129" s="37">
        <f>IF(AG129="0",J129,0)</f>
        <v>0</v>
      </c>
      <c r="Y129" s="28" t="s">
        <v>70</v>
      </c>
      <c r="Z129" s="20">
        <f>IF(AD129=0,J129,0)</f>
        <v>0</v>
      </c>
      <c r="AA129" s="20">
        <f>IF(AD129=15,J129,0)</f>
        <v>0</v>
      </c>
      <c r="AB129" s="20">
        <f>IF(AD129=21,J129,0)</f>
        <v>0</v>
      </c>
      <c r="AD129" s="37">
        <v>21</v>
      </c>
      <c r="AE129" s="37">
        <f>G129*1</f>
        <v>0</v>
      </c>
      <c r="AF129" s="37">
        <f>G129*(1-1)</f>
        <v>0</v>
      </c>
      <c r="AG129" s="34" t="s">
        <v>7</v>
      </c>
      <c r="AM129" s="37">
        <f>F129*AE129</f>
        <v>0</v>
      </c>
      <c r="AN129" s="37">
        <f>F129*AF129</f>
        <v>0</v>
      </c>
      <c r="AO129" s="38" t="s">
        <v>236</v>
      </c>
      <c r="AP129" s="38" t="s">
        <v>246</v>
      </c>
      <c r="AQ129" s="28" t="s">
        <v>251</v>
      </c>
      <c r="AS129" s="37">
        <f>AM129+AN129</f>
        <v>0</v>
      </c>
      <c r="AT129" s="37">
        <f>G129/(100-AU129)*100</f>
        <v>0</v>
      </c>
      <c r="AU129" s="37">
        <v>0</v>
      </c>
      <c r="AV129" s="37">
        <f>L129</f>
        <v>4.1600000000000005E-3</v>
      </c>
    </row>
    <row r="130" spans="1:48">
      <c r="D130" s="58" t="s">
        <v>19</v>
      </c>
      <c r="F130" s="19">
        <v>13</v>
      </c>
    </row>
    <row r="131" spans="1:48">
      <c r="A131" s="7">
        <f>A129+1</f>
        <v>49</v>
      </c>
      <c r="B131" s="7"/>
      <c r="C131" s="7" t="s">
        <v>120</v>
      </c>
      <c r="D131" s="7" t="s">
        <v>185</v>
      </c>
      <c r="E131" s="7" t="s">
        <v>201</v>
      </c>
      <c r="F131" s="20">
        <v>13</v>
      </c>
      <c r="G131" s="20">
        <v>0</v>
      </c>
      <c r="H131" s="20">
        <f>F131*AE131</f>
        <v>0</v>
      </c>
      <c r="I131" s="20">
        <f>J131-H131</f>
        <v>0</v>
      </c>
      <c r="J131" s="20">
        <f>F131*G131</f>
        <v>0</v>
      </c>
      <c r="K131" s="20">
        <v>9.2999999999999992E-3</v>
      </c>
      <c r="L131" s="20">
        <f>F131*K131</f>
        <v>0.12089999999999999</v>
      </c>
      <c r="M131" s="34" t="s">
        <v>303</v>
      </c>
      <c r="P131" s="37">
        <f>IF(AG131="5",J131,0)</f>
        <v>0</v>
      </c>
      <c r="R131" s="37">
        <f>IF(AG131="1",H131,0)</f>
        <v>0</v>
      </c>
      <c r="S131" s="37">
        <f>IF(AG131="1",I131,0)</f>
        <v>0</v>
      </c>
      <c r="T131" s="37">
        <f>IF(AG131="7",H131,0)</f>
        <v>0</v>
      </c>
      <c r="U131" s="37">
        <f>IF(AG131="7",I131,0)</f>
        <v>0</v>
      </c>
      <c r="V131" s="37">
        <f>IF(AG131="2",H131,0)</f>
        <v>0</v>
      </c>
      <c r="W131" s="37">
        <f>IF(AG131="2",I131,0)</f>
        <v>0</v>
      </c>
      <c r="X131" s="37">
        <f>IF(AG131="0",J131,0)</f>
        <v>0</v>
      </c>
      <c r="Y131" s="28" t="s">
        <v>70</v>
      </c>
      <c r="Z131" s="20">
        <f>IF(AD131=0,J131,0)</f>
        <v>0</v>
      </c>
      <c r="AA131" s="20">
        <f>IF(AD131=15,J131,0)</f>
        <v>0</v>
      </c>
      <c r="AB131" s="20">
        <f>IF(AD131=21,J131,0)</f>
        <v>0</v>
      </c>
      <c r="AD131" s="37">
        <v>21</v>
      </c>
      <c r="AE131" s="37">
        <f>G131*1</f>
        <v>0</v>
      </c>
      <c r="AF131" s="37">
        <f>G131*(1-1)</f>
        <v>0</v>
      </c>
      <c r="AG131" s="34" t="s">
        <v>7</v>
      </c>
      <c r="AM131" s="37">
        <f>F131*AE131</f>
        <v>0</v>
      </c>
      <c r="AN131" s="37">
        <f>F131*AF131</f>
        <v>0</v>
      </c>
      <c r="AO131" s="38" t="s">
        <v>236</v>
      </c>
      <c r="AP131" s="38" t="s">
        <v>246</v>
      </c>
      <c r="AQ131" s="28" t="s">
        <v>251</v>
      </c>
      <c r="AS131" s="37">
        <f>AM131+AN131</f>
        <v>0</v>
      </c>
      <c r="AT131" s="37">
        <f>G131/(100-AU131)*100</f>
        <v>0</v>
      </c>
      <c r="AU131" s="37">
        <v>0</v>
      </c>
      <c r="AV131" s="37">
        <f>L131</f>
        <v>0.12089999999999999</v>
      </c>
    </row>
    <row r="132" spans="1:48">
      <c r="D132" s="58" t="s">
        <v>19</v>
      </c>
      <c r="F132" s="19">
        <v>13</v>
      </c>
    </row>
    <row r="133" spans="1:48">
      <c r="A133" s="7">
        <f>A131+1</f>
        <v>50</v>
      </c>
      <c r="B133" s="7"/>
      <c r="C133" s="7" t="s">
        <v>102</v>
      </c>
      <c r="D133" s="7" t="s">
        <v>167</v>
      </c>
      <c r="E133" s="7" t="s">
        <v>200</v>
      </c>
      <c r="F133" s="20">
        <v>13</v>
      </c>
      <c r="G133" s="20">
        <v>0</v>
      </c>
      <c r="H133" s="20">
        <f>F133*AE133</f>
        <v>0</v>
      </c>
      <c r="I133" s="20">
        <f>J133-H133</f>
        <v>0</v>
      </c>
      <c r="J133" s="20">
        <f>F133*G133</f>
        <v>0</v>
      </c>
      <c r="K133" s="20">
        <v>8.9999999999999998E-4</v>
      </c>
      <c r="L133" s="20">
        <f>F133*K133</f>
        <v>1.17E-2</v>
      </c>
      <c r="M133" s="34" t="s">
        <v>303</v>
      </c>
      <c r="P133" s="37">
        <f>IF(AG133="5",J133,0)</f>
        <v>0</v>
      </c>
      <c r="R133" s="37">
        <f>IF(AG133="1",H133,0)</f>
        <v>0</v>
      </c>
      <c r="S133" s="37">
        <f>IF(AG133="1",I133,0)</f>
        <v>0</v>
      </c>
      <c r="T133" s="37">
        <f>IF(AG133="7",H133,0)</f>
        <v>0</v>
      </c>
      <c r="U133" s="37">
        <f>IF(AG133="7",I133,0)</f>
        <v>0</v>
      </c>
      <c r="V133" s="37">
        <f>IF(AG133="2",H133,0)</f>
        <v>0</v>
      </c>
      <c r="W133" s="37">
        <f>IF(AG133="2",I133,0)</f>
        <v>0</v>
      </c>
      <c r="X133" s="37">
        <f>IF(AG133="0",J133,0)</f>
        <v>0</v>
      </c>
      <c r="Y133" s="28" t="s">
        <v>70</v>
      </c>
      <c r="Z133" s="20">
        <f>IF(AD133=0,J133,0)</f>
        <v>0</v>
      </c>
      <c r="AA133" s="20">
        <f>IF(AD133=15,J133,0)</f>
        <v>0</v>
      </c>
      <c r="AB133" s="20">
        <f>IF(AD133=21,J133,0)</f>
        <v>0</v>
      </c>
      <c r="AD133" s="37">
        <v>21</v>
      </c>
      <c r="AE133" s="37">
        <f>G133*1</f>
        <v>0</v>
      </c>
      <c r="AF133" s="37">
        <f>G133*(1-1)</f>
        <v>0</v>
      </c>
      <c r="AG133" s="34" t="s">
        <v>7</v>
      </c>
      <c r="AM133" s="37">
        <f>F133*AE133</f>
        <v>0</v>
      </c>
      <c r="AN133" s="37">
        <f>F133*AF133</f>
        <v>0</v>
      </c>
      <c r="AO133" s="38" t="s">
        <v>236</v>
      </c>
      <c r="AP133" s="38" t="s">
        <v>246</v>
      </c>
      <c r="AQ133" s="28" t="s">
        <v>251</v>
      </c>
      <c r="AS133" s="37">
        <f>AM133+AN133</f>
        <v>0</v>
      </c>
      <c r="AT133" s="37">
        <f>G133/(100-AU133)*100</f>
        <v>0</v>
      </c>
      <c r="AU133" s="37">
        <v>0</v>
      </c>
      <c r="AV133" s="37">
        <f>L133</f>
        <v>1.17E-2</v>
      </c>
    </row>
    <row r="134" spans="1:48">
      <c r="D134" s="58" t="s">
        <v>19</v>
      </c>
      <c r="F134" s="19">
        <v>13</v>
      </c>
    </row>
    <row r="135" spans="1:48">
      <c r="A135" s="6">
        <f>A133+1</f>
        <v>51</v>
      </c>
      <c r="B135" s="6"/>
      <c r="C135" s="59" t="s">
        <v>105</v>
      </c>
      <c r="D135" s="6" t="s">
        <v>170</v>
      </c>
      <c r="E135" s="6" t="s">
        <v>200</v>
      </c>
      <c r="F135" s="18">
        <v>13</v>
      </c>
      <c r="G135" s="18">
        <v>0</v>
      </c>
      <c r="H135" s="18">
        <f>F135*AE135</f>
        <v>0</v>
      </c>
      <c r="I135" s="18">
        <f>J135-H135</f>
        <v>0</v>
      </c>
      <c r="J135" s="18">
        <f>F135*G135</f>
        <v>0</v>
      </c>
      <c r="K135" s="18">
        <v>0.11178</v>
      </c>
      <c r="L135" s="18">
        <f>F135*K135</f>
        <v>1.4531400000000001</v>
      </c>
      <c r="M135" s="33" t="s">
        <v>303</v>
      </c>
      <c r="P135" s="37">
        <f>IF(AG135="5",J135,0)</f>
        <v>0</v>
      </c>
      <c r="R135" s="37">
        <f>IF(AG135="1",H135,0)</f>
        <v>0</v>
      </c>
      <c r="S135" s="37">
        <f>IF(AG135="1",I135,0)</f>
        <v>0</v>
      </c>
      <c r="T135" s="37">
        <f>IF(AG135="7",H135,0)</f>
        <v>0</v>
      </c>
      <c r="U135" s="37">
        <f>IF(AG135="7",I135,0)</f>
        <v>0</v>
      </c>
      <c r="V135" s="37">
        <f>IF(AG135="2",H135,0)</f>
        <v>0</v>
      </c>
      <c r="W135" s="37">
        <f>IF(AG135="2",I135,0)</f>
        <v>0</v>
      </c>
      <c r="X135" s="37">
        <f>IF(AG135="0",J135,0)</f>
        <v>0</v>
      </c>
      <c r="Y135" s="28" t="s">
        <v>70</v>
      </c>
      <c r="Z135" s="18">
        <f>IF(AD135=0,J135,0)</f>
        <v>0</v>
      </c>
      <c r="AA135" s="18">
        <f>IF(AD135=15,J135,0)</f>
        <v>0</v>
      </c>
      <c r="AB135" s="18">
        <f>IF(AD135=21,J135,0)</f>
        <v>0</v>
      </c>
      <c r="AD135" s="37">
        <v>21</v>
      </c>
      <c r="AE135" s="37">
        <f>G135*0.367445039800666</f>
        <v>0</v>
      </c>
      <c r="AF135" s="37">
        <f>G135*(1-0.367445039800666)</f>
        <v>0</v>
      </c>
      <c r="AG135" s="33" t="s">
        <v>7</v>
      </c>
      <c r="AM135" s="37">
        <f>F135*AE135</f>
        <v>0</v>
      </c>
      <c r="AN135" s="37">
        <f>F135*AF135</f>
        <v>0</v>
      </c>
      <c r="AO135" s="38" t="s">
        <v>236</v>
      </c>
      <c r="AP135" s="38" t="s">
        <v>246</v>
      </c>
      <c r="AQ135" s="28" t="s">
        <v>251</v>
      </c>
      <c r="AS135" s="37">
        <f>AM135+AN135</f>
        <v>0</v>
      </c>
      <c r="AT135" s="37">
        <f>G135/(100-AU135)*100</f>
        <v>0</v>
      </c>
      <c r="AU135" s="37">
        <v>0</v>
      </c>
      <c r="AV135" s="37">
        <f>L135</f>
        <v>1.4531400000000001</v>
      </c>
    </row>
    <row r="136" spans="1:48">
      <c r="D136" s="58" t="s">
        <v>19</v>
      </c>
      <c r="F136" s="19">
        <v>13</v>
      </c>
    </row>
    <row r="137" spans="1:48">
      <c r="A137" s="6">
        <f>A135+1</f>
        <v>52</v>
      </c>
      <c r="B137" s="6"/>
      <c r="C137" s="59" t="s">
        <v>121</v>
      </c>
      <c r="D137" s="6" t="s">
        <v>186</v>
      </c>
      <c r="E137" s="6" t="s">
        <v>200</v>
      </c>
      <c r="F137" s="18">
        <v>8</v>
      </c>
      <c r="G137" s="18">
        <v>0</v>
      </c>
      <c r="H137" s="18">
        <v>560</v>
      </c>
      <c r="I137" s="18">
        <f>J137-H137</f>
        <v>-560</v>
      </c>
      <c r="J137" s="18">
        <f>F137*G137</f>
        <v>0</v>
      </c>
      <c r="K137" s="18">
        <v>8.0000000000000007E-5</v>
      </c>
      <c r="L137" s="18">
        <f>F137*K137</f>
        <v>6.4000000000000005E-4</v>
      </c>
      <c r="M137" s="33" t="s">
        <v>303</v>
      </c>
      <c r="P137" s="37">
        <f>IF(AG137="5",J137,0)</f>
        <v>0</v>
      </c>
      <c r="R137" s="37">
        <f>IF(AG137="1",H137,0)</f>
        <v>560</v>
      </c>
      <c r="S137" s="37">
        <f>IF(AG137="1",I137,0)</f>
        <v>-560</v>
      </c>
      <c r="T137" s="37">
        <f>IF(AG137="7",H137,0)</f>
        <v>0</v>
      </c>
      <c r="U137" s="37">
        <f>IF(AG137="7",I137,0)</f>
        <v>0</v>
      </c>
      <c r="V137" s="37">
        <f>IF(AG137="2",H137,0)</f>
        <v>0</v>
      </c>
      <c r="W137" s="37">
        <f>IF(AG137="2",I137,0)</f>
        <v>0</v>
      </c>
      <c r="X137" s="37">
        <f>IF(AG137="0",J137,0)</f>
        <v>0</v>
      </c>
      <c r="Y137" s="28" t="s">
        <v>70</v>
      </c>
      <c r="Z137" s="18">
        <f>IF(AD137=0,J137,0)</f>
        <v>0</v>
      </c>
      <c r="AA137" s="18">
        <f>IF(AD137=15,J137,0)</f>
        <v>0</v>
      </c>
      <c r="AB137" s="18">
        <f>IF(AD137=21,J137,0)</f>
        <v>0</v>
      </c>
      <c r="AD137" s="37">
        <v>21</v>
      </c>
      <c r="AE137" s="37">
        <f>G137*0.0111756756756757</f>
        <v>0</v>
      </c>
      <c r="AF137" s="37">
        <f>G137*(1-0.0111756756756757)</f>
        <v>0</v>
      </c>
      <c r="AG137" s="33" t="s">
        <v>7</v>
      </c>
      <c r="AM137" s="37">
        <f>F137*AE137</f>
        <v>0</v>
      </c>
      <c r="AN137" s="37">
        <f>F137*AF137</f>
        <v>0</v>
      </c>
      <c r="AO137" s="38" t="s">
        <v>236</v>
      </c>
      <c r="AP137" s="38" t="s">
        <v>246</v>
      </c>
      <c r="AQ137" s="28" t="s">
        <v>251</v>
      </c>
      <c r="AS137" s="37">
        <f>AM137+AN137</f>
        <v>0</v>
      </c>
      <c r="AT137" s="37">
        <f>G137/(100-AU137)*100</f>
        <v>0</v>
      </c>
      <c r="AU137" s="37">
        <v>0</v>
      </c>
      <c r="AV137" s="37">
        <f>L137</f>
        <v>6.4000000000000005E-4</v>
      </c>
    </row>
    <row r="138" spans="1:48">
      <c r="D138" s="16" t="s">
        <v>14</v>
      </c>
      <c r="F138" s="19">
        <v>8</v>
      </c>
    </row>
    <row r="139" spans="1:48">
      <c r="A139" s="5"/>
      <c r="B139" s="14"/>
      <c r="C139" s="14" t="s">
        <v>64</v>
      </c>
      <c r="D139" s="14" t="s">
        <v>169</v>
      </c>
      <c r="E139" s="5" t="s">
        <v>6</v>
      </c>
      <c r="F139" s="5" t="s">
        <v>6</v>
      </c>
      <c r="G139" s="5" t="s">
        <v>6</v>
      </c>
      <c r="H139" s="40">
        <f>SUM(H140:H143)</f>
        <v>0</v>
      </c>
      <c r="I139" s="40">
        <f>SUM(I140:I143)</f>
        <v>0</v>
      </c>
      <c r="J139" s="40">
        <f>H139+I139</f>
        <v>0</v>
      </c>
      <c r="K139" s="28"/>
      <c r="L139" s="40">
        <f>SUM(L140:L140)</f>
        <v>0.33534000000000003</v>
      </c>
      <c r="M139" s="28"/>
      <c r="Y139" s="28" t="s">
        <v>69</v>
      </c>
      <c r="AI139" s="40">
        <f>SUM(Z140:Z140)</f>
        <v>0</v>
      </c>
      <c r="AJ139" s="40">
        <f>SUM(AA140:AA140)</f>
        <v>0</v>
      </c>
      <c r="AK139" s="40">
        <f>SUM(AB140:AB140)</f>
        <v>0</v>
      </c>
    </row>
    <row r="140" spans="1:48">
      <c r="A140" s="59" t="s">
        <v>45</v>
      </c>
      <c r="B140" s="6"/>
      <c r="C140" s="6" t="s">
        <v>105</v>
      </c>
      <c r="D140" s="6" t="s">
        <v>170</v>
      </c>
      <c r="E140" s="6" t="s">
        <v>200</v>
      </c>
      <c r="F140" s="18">
        <v>3</v>
      </c>
      <c r="G140" s="18">
        <v>0</v>
      </c>
      <c r="H140" s="18">
        <f>F140*AE140</f>
        <v>0</v>
      </c>
      <c r="I140" s="18">
        <f>J140-H140</f>
        <v>0</v>
      </c>
      <c r="J140" s="18">
        <f>F140*G140</f>
        <v>0</v>
      </c>
      <c r="K140" s="18">
        <v>0.11178</v>
      </c>
      <c r="L140" s="18">
        <f>F140*K140</f>
        <v>0.33534000000000003</v>
      </c>
      <c r="M140" s="61" t="s">
        <v>303</v>
      </c>
      <c r="P140" s="37">
        <f>IF(AG140="5",J140,0)</f>
        <v>0</v>
      </c>
      <c r="R140" s="37">
        <f>IF(AG140="1",H140,0)</f>
        <v>0</v>
      </c>
      <c r="S140" s="37">
        <f>IF(AG140="1",I140,0)</f>
        <v>0</v>
      </c>
      <c r="T140" s="37">
        <f>IF(AG140="7",H140,0)</f>
        <v>0</v>
      </c>
      <c r="U140" s="37">
        <f>IF(AG140="7",I140,0)</f>
        <v>0</v>
      </c>
      <c r="V140" s="37">
        <f>IF(AG140="2",H140,0)</f>
        <v>0</v>
      </c>
      <c r="W140" s="37">
        <f>IF(AG140="2",I140,0)</f>
        <v>0</v>
      </c>
      <c r="X140" s="37">
        <f>IF(AG140="0",J140,0)</f>
        <v>0</v>
      </c>
      <c r="Y140" s="28" t="s">
        <v>69</v>
      </c>
      <c r="Z140" s="18">
        <f>IF(AD140=0,J140,0)</f>
        <v>0</v>
      </c>
      <c r="AA140" s="18">
        <f>IF(AD140=15,J140,0)</f>
        <v>0</v>
      </c>
      <c r="AB140" s="18">
        <f>IF(AD140=21,J140,0)</f>
        <v>0</v>
      </c>
      <c r="AD140" s="37">
        <v>21</v>
      </c>
      <c r="AE140" s="37">
        <f>G140*0.367445039800666</f>
        <v>0</v>
      </c>
      <c r="AF140" s="37">
        <f>G140*(1-0.367445039800666)</f>
        <v>0</v>
      </c>
      <c r="AG140" s="33" t="s">
        <v>7</v>
      </c>
      <c r="AM140" s="37">
        <f>F140*AE140</f>
        <v>0</v>
      </c>
      <c r="AN140" s="37">
        <f>F140*AF140</f>
        <v>0</v>
      </c>
      <c r="AO140" s="38" t="s">
        <v>236</v>
      </c>
      <c r="AP140" s="38" t="s">
        <v>244</v>
      </c>
      <c r="AQ140" s="28" t="s">
        <v>250</v>
      </c>
      <c r="AS140" s="37">
        <f>AM140+AN140</f>
        <v>0</v>
      </c>
      <c r="AT140" s="37">
        <f>G140/(100-AU140)*100</f>
        <v>0</v>
      </c>
      <c r="AU140" s="37">
        <v>0</v>
      </c>
      <c r="AV140" s="37">
        <f>L140</f>
        <v>0.33534000000000003</v>
      </c>
    </row>
    <row r="141" spans="1:48">
      <c r="D141" s="58" t="s">
        <v>9</v>
      </c>
      <c r="F141" s="19">
        <v>3</v>
      </c>
    </row>
    <row r="142" spans="1:48">
      <c r="A142" s="59" t="s">
        <v>46</v>
      </c>
      <c r="B142" s="6"/>
      <c r="C142" s="59" t="s">
        <v>373</v>
      </c>
      <c r="D142" s="59" t="s">
        <v>374</v>
      </c>
      <c r="E142" s="59" t="s">
        <v>200</v>
      </c>
      <c r="F142" s="18">
        <v>13</v>
      </c>
      <c r="G142" s="18">
        <v>0</v>
      </c>
      <c r="H142" s="18">
        <f>F142*AE142</f>
        <v>0</v>
      </c>
      <c r="I142" s="18">
        <f>J142-H142</f>
        <v>0</v>
      </c>
      <c r="J142" s="18">
        <f>F142*G142</f>
        <v>0</v>
      </c>
      <c r="K142" s="18">
        <v>0.11178</v>
      </c>
      <c r="L142" s="18">
        <f>F142*K142</f>
        <v>1.4531400000000001</v>
      </c>
      <c r="M142" s="61" t="s">
        <v>303</v>
      </c>
      <c r="P142" s="37"/>
      <c r="R142" s="37"/>
      <c r="S142" s="37"/>
      <c r="T142" s="37"/>
      <c r="U142" s="37"/>
      <c r="V142" s="37"/>
      <c r="W142" s="37"/>
      <c r="X142" s="37"/>
      <c r="Y142" s="28"/>
      <c r="Z142" s="18"/>
      <c r="AA142" s="18"/>
      <c r="AB142" s="18"/>
      <c r="AD142" s="37"/>
      <c r="AE142" s="37"/>
      <c r="AF142" s="37"/>
      <c r="AG142" s="33"/>
      <c r="AM142" s="37"/>
      <c r="AN142" s="37"/>
      <c r="AO142" s="38"/>
      <c r="AP142" s="38"/>
      <c r="AQ142" s="28"/>
      <c r="AS142" s="37"/>
      <c r="AT142" s="37"/>
      <c r="AU142" s="37"/>
      <c r="AV142" s="37"/>
    </row>
    <row r="143" spans="1:48">
      <c r="D143" s="58" t="s">
        <v>9</v>
      </c>
      <c r="F143" s="19">
        <v>13</v>
      </c>
    </row>
    <row r="144" spans="1:48">
      <c r="A144" s="5"/>
      <c r="B144" s="14"/>
      <c r="C144" s="14" t="s">
        <v>65</v>
      </c>
      <c r="D144" s="14" t="s">
        <v>171</v>
      </c>
      <c r="E144" s="5" t="s">
        <v>6</v>
      </c>
      <c r="F144" s="5" t="s">
        <v>6</v>
      </c>
      <c r="G144" s="5" t="s">
        <v>6</v>
      </c>
      <c r="H144" s="40">
        <f>SUM(H145:H153)</f>
        <v>0</v>
      </c>
      <c r="I144" s="40">
        <f>SUM(I145:I153)</f>
        <v>0</v>
      </c>
      <c r="J144" s="40">
        <f>H144+I144</f>
        <v>0</v>
      </c>
      <c r="K144" s="28"/>
      <c r="L144" s="40">
        <f>SUM(L145:L145)</f>
        <v>0</v>
      </c>
      <c r="M144" s="28"/>
      <c r="Y144" s="28" t="s">
        <v>69</v>
      </c>
      <c r="AI144" s="40">
        <f>SUM(Z145:Z145)</f>
        <v>0</v>
      </c>
      <c r="AJ144" s="40">
        <f>SUM(AA145:AA145)</f>
        <v>0</v>
      </c>
      <c r="AK144" s="40">
        <f>SUM(AB145:AB145)</f>
        <v>0</v>
      </c>
    </row>
    <row r="145" spans="1:48">
      <c r="A145" s="59" t="s">
        <v>47</v>
      </c>
      <c r="B145" s="6"/>
      <c r="C145" s="59" t="s">
        <v>106</v>
      </c>
      <c r="D145" s="6" t="s">
        <v>172</v>
      </c>
      <c r="E145" s="6" t="s">
        <v>196</v>
      </c>
      <c r="F145" s="18">
        <f>F14</f>
        <v>93</v>
      </c>
      <c r="G145" s="18">
        <v>0</v>
      </c>
      <c r="H145" s="18">
        <f>F145*AE145</f>
        <v>0</v>
      </c>
      <c r="I145" s="18">
        <f>J145-H145</f>
        <v>0</v>
      </c>
      <c r="J145" s="18">
        <f>F145*G145</f>
        <v>0</v>
      </c>
      <c r="K145" s="18">
        <v>0</v>
      </c>
      <c r="L145" s="18">
        <f>F145*K145</f>
        <v>0</v>
      </c>
      <c r="M145" s="61" t="s">
        <v>303</v>
      </c>
      <c r="P145" s="37">
        <f>IF(AG145="5",J145,0)</f>
        <v>0</v>
      </c>
      <c r="R145" s="37">
        <f>IF(AG145="1",H145,0)</f>
        <v>0</v>
      </c>
      <c r="S145" s="37">
        <f>IF(AG145="1",I145,0)</f>
        <v>0</v>
      </c>
      <c r="T145" s="37">
        <f>IF(AG145="7",H145,0)</f>
        <v>0</v>
      </c>
      <c r="U145" s="37">
        <f>IF(AG145="7",I145,0)</f>
        <v>0</v>
      </c>
      <c r="V145" s="37">
        <f>IF(AG145="2",H145,0)</f>
        <v>0</v>
      </c>
      <c r="W145" s="37">
        <f>IF(AG145="2",I145,0)</f>
        <v>0</v>
      </c>
      <c r="X145" s="37">
        <f>IF(AG145="0",J145,0)</f>
        <v>0</v>
      </c>
      <c r="Y145" s="28" t="s">
        <v>69</v>
      </c>
      <c r="Z145" s="18">
        <f>IF(AD145=0,J145,0)</f>
        <v>0</v>
      </c>
      <c r="AA145" s="18">
        <f>IF(AD145=15,J145,0)</f>
        <v>0</v>
      </c>
      <c r="AB145" s="18">
        <f>IF(AD145=21,J145,0)</f>
        <v>0</v>
      </c>
      <c r="AD145" s="37">
        <v>21</v>
      </c>
      <c r="AE145" s="37">
        <f>G145*0.607557603686636</f>
        <v>0</v>
      </c>
      <c r="AF145" s="37">
        <f>G145*(1-0.607557603686636)</f>
        <v>0</v>
      </c>
      <c r="AG145" s="33" t="s">
        <v>7</v>
      </c>
      <c r="AM145" s="37">
        <f>F145*AE145</f>
        <v>0</v>
      </c>
      <c r="AN145" s="37">
        <f>F145*AF145</f>
        <v>0</v>
      </c>
      <c r="AO145" s="38" t="s">
        <v>237</v>
      </c>
      <c r="AP145" s="38" t="s">
        <v>245</v>
      </c>
      <c r="AQ145" s="28" t="s">
        <v>250</v>
      </c>
      <c r="AS145" s="37">
        <f>AM145+AN145</f>
        <v>0</v>
      </c>
      <c r="AT145" s="37">
        <f>G145/(100-AU145)*100</f>
        <v>0</v>
      </c>
      <c r="AU145" s="37">
        <v>0</v>
      </c>
      <c r="AV145" s="37">
        <f>L145</f>
        <v>0</v>
      </c>
    </row>
    <row r="146" spans="1:48">
      <c r="A146" s="59" t="s">
        <v>48</v>
      </c>
      <c r="B146" s="6"/>
      <c r="C146" s="59" t="s">
        <v>357</v>
      </c>
      <c r="D146" s="59" t="s">
        <v>358</v>
      </c>
      <c r="E146" s="6" t="s">
        <v>197</v>
      </c>
      <c r="F146" s="18">
        <f>SUM(F147:F148)</f>
        <v>51.5</v>
      </c>
      <c r="G146" s="18">
        <v>0</v>
      </c>
      <c r="H146" s="18">
        <f>F146*AE146</f>
        <v>0</v>
      </c>
      <c r="I146" s="18">
        <f>J146-H146</f>
        <v>0</v>
      </c>
      <c r="J146" s="18">
        <f>F146*G146</f>
        <v>0</v>
      </c>
      <c r="K146" s="18">
        <v>0</v>
      </c>
      <c r="L146" s="18">
        <f>F146*K146</f>
        <v>0</v>
      </c>
      <c r="M146" s="61" t="s">
        <v>303</v>
      </c>
      <c r="P146" s="37">
        <f>IF(AG146="5",J146,0)</f>
        <v>0</v>
      </c>
      <c r="R146" s="37">
        <f>IF(AG146="1",H146,0)</f>
        <v>0</v>
      </c>
      <c r="S146" s="37">
        <f>IF(AG146="1",I146,0)</f>
        <v>0</v>
      </c>
      <c r="T146" s="37">
        <f>IF(AG146="7",H146,0)</f>
        <v>0</v>
      </c>
      <c r="U146" s="37">
        <f>IF(AG146="7",I146,0)</f>
        <v>0</v>
      </c>
      <c r="V146" s="37">
        <f>IF(AG146="2",H146,0)</f>
        <v>0</v>
      </c>
      <c r="W146" s="37">
        <f>IF(AG146="2",I146,0)</f>
        <v>0</v>
      </c>
      <c r="X146" s="37">
        <f>IF(AG146="0",J146,0)</f>
        <v>0</v>
      </c>
      <c r="Y146" s="28" t="s">
        <v>71</v>
      </c>
      <c r="Z146" s="18">
        <f>IF(AD146=0,J146,0)</f>
        <v>0</v>
      </c>
      <c r="AA146" s="18">
        <f>IF(AD146=15,J146,0)</f>
        <v>0</v>
      </c>
      <c r="AB146" s="18">
        <f>IF(AD146=21,J146,0)</f>
        <v>0</v>
      </c>
      <c r="AD146" s="37">
        <v>21</v>
      </c>
      <c r="AE146" s="37">
        <f>G146*0</f>
        <v>0</v>
      </c>
      <c r="AF146" s="37">
        <f>G146*(1-0)</f>
        <v>0</v>
      </c>
      <c r="AG146" s="33" t="s">
        <v>7</v>
      </c>
      <c r="AM146" s="37">
        <f>F146*AE146</f>
        <v>0</v>
      </c>
      <c r="AN146" s="37">
        <f>F146*AF146</f>
        <v>0</v>
      </c>
      <c r="AO146" s="38" t="s">
        <v>239</v>
      </c>
      <c r="AP146" s="38" t="s">
        <v>247</v>
      </c>
      <c r="AQ146" s="28" t="s">
        <v>252</v>
      </c>
      <c r="AS146" s="37">
        <f>AM146+AN146</f>
        <v>0</v>
      </c>
      <c r="AT146" s="37">
        <f>G146/(100-AU146)*100</f>
        <v>0</v>
      </c>
      <c r="AU146" s="37">
        <v>0</v>
      </c>
      <c r="AV146" s="37">
        <f>L146</f>
        <v>0</v>
      </c>
    </row>
    <row r="147" spans="1:48">
      <c r="D147" s="58" t="s">
        <v>359</v>
      </c>
      <c r="F147" s="19">
        <f>F21</f>
        <v>25.75</v>
      </c>
    </row>
    <row r="148" spans="1:48">
      <c r="D148" s="58" t="s">
        <v>360</v>
      </c>
      <c r="F148" s="19">
        <f>F21</f>
        <v>25.75</v>
      </c>
    </row>
    <row r="149" spans="1:48">
      <c r="A149" s="59" t="s">
        <v>49</v>
      </c>
      <c r="B149" s="6"/>
      <c r="C149" s="59">
        <v>58344197</v>
      </c>
      <c r="D149" s="59" t="s">
        <v>361</v>
      </c>
      <c r="E149" s="59" t="s">
        <v>199</v>
      </c>
      <c r="F149" s="18">
        <f>F146*0.2*1.8</f>
        <v>18.540000000000003</v>
      </c>
      <c r="G149" s="18">
        <v>0</v>
      </c>
      <c r="H149" s="20">
        <f>F149*AE149</f>
        <v>0</v>
      </c>
      <c r="I149" s="20">
        <f>J149-H149</f>
        <v>0</v>
      </c>
      <c r="J149" s="20">
        <f>F149*G149</f>
        <v>0</v>
      </c>
      <c r="K149" s="20">
        <v>2.3E-2</v>
      </c>
      <c r="L149" s="20">
        <f>F149*K149</f>
        <v>0.42642000000000008</v>
      </c>
      <c r="M149" s="61" t="s">
        <v>303</v>
      </c>
      <c r="P149" s="37"/>
      <c r="R149" s="37"/>
      <c r="S149" s="37"/>
      <c r="T149" s="37"/>
      <c r="U149" s="37"/>
      <c r="V149" s="37"/>
      <c r="W149" s="37"/>
      <c r="X149" s="37"/>
      <c r="Y149" s="28"/>
      <c r="Z149" s="18"/>
      <c r="AA149" s="18"/>
      <c r="AB149" s="18"/>
      <c r="AD149" s="37"/>
      <c r="AE149" s="37"/>
      <c r="AF149" s="37"/>
      <c r="AG149" s="33"/>
      <c r="AM149" s="37"/>
      <c r="AN149" s="37"/>
      <c r="AO149" s="38"/>
      <c r="AP149" s="38"/>
      <c r="AQ149" s="28"/>
      <c r="AS149" s="37"/>
      <c r="AT149" s="37"/>
      <c r="AU149" s="37"/>
      <c r="AV149" s="37"/>
    </row>
    <row r="150" spans="1:48" ht="14.25" customHeight="1">
      <c r="A150" s="59" t="s">
        <v>50</v>
      </c>
      <c r="B150" s="6"/>
      <c r="C150" s="6" t="s">
        <v>123</v>
      </c>
      <c r="D150" s="6" t="s">
        <v>188</v>
      </c>
      <c r="E150" s="6" t="s">
        <v>199</v>
      </c>
      <c r="F150" s="18">
        <f>F147*0.1*2.5</f>
        <v>6.4375</v>
      </c>
      <c r="G150" s="18">
        <v>0</v>
      </c>
      <c r="H150" s="18">
        <f>F150*AE150</f>
        <v>0</v>
      </c>
      <c r="I150" s="18">
        <f>J150-H150</f>
        <v>0</v>
      </c>
      <c r="J150" s="18">
        <f>F150*G150</f>
        <v>0</v>
      </c>
      <c r="K150" s="18">
        <v>1</v>
      </c>
      <c r="L150" s="18">
        <f>F150*K150</f>
        <v>6.4375</v>
      </c>
      <c r="M150" s="61" t="s">
        <v>303</v>
      </c>
      <c r="P150" s="37"/>
      <c r="R150" s="37"/>
      <c r="S150" s="37"/>
      <c r="T150" s="37"/>
      <c r="U150" s="37"/>
      <c r="V150" s="37"/>
      <c r="W150" s="37"/>
      <c r="X150" s="37"/>
      <c r="Y150" s="28"/>
      <c r="Z150" s="18"/>
      <c r="AA150" s="18"/>
      <c r="AB150" s="18"/>
      <c r="AD150" s="37"/>
      <c r="AE150" s="37"/>
      <c r="AF150" s="37"/>
      <c r="AG150" s="33"/>
      <c r="AM150" s="37"/>
      <c r="AN150" s="37"/>
      <c r="AO150" s="38"/>
      <c r="AP150" s="38"/>
      <c r="AQ150" s="28"/>
      <c r="AS150" s="37"/>
      <c r="AT150" s="37"/>
      <c r="AU150" s="37"/>
      <c r="AV150" s="37"/>
    </row>
    <row r="151" spans="1:48" ht="14.25" customHeight="1">
      <c r="A151" s="59" t="s">
        <v>51</v>
      </c>
      <c r="B151" s="6"/>
      <c r="C151" s="6" t="s">
        <v>124</v>
      </c>
      <c r="D151" s="6" t="s">
        <v>189</v>
      </c>
      <c r="E151" s="6" t="s">
        <v>197</v>
      </c>
      <c r="F151" s="18">
        <f>F147</f>
        <v>25.75</v>
      </c>
      <c r="G151" s="18">
        <v>0</v>
      </c>
      <c r="H151" s="18">
        <f>F151*AE151</f>
        <v>0</v>
      </c>
      <c r="I151" s="18">
        <f>J151-H151</f>
        <v>0</v>
      </c>
      <c r="J151" s="18">
        <f>F151*G151</f>
        <v>0</v>
      </c>
      <c r="K151" s="18">
        <v>7.1000000000000002E-4</v>
      </c>
      <c r="L151" s="18">
        <f>F151*K151</f>
        <v>1.82825E-2</v>
      </c>
      <c r="M151" s="61" t="s">
        <v>303</v>
      </c>
      <c r="P151" s="37">
        <f>IF(AG151="5",J151,0)</f>
        <v>0</v>
      </c>
      <c r="R151" s="37">
        <f>IF(AG151="1",H151,0)</f>
        <v>0</v>
      </c>
      <c r="S151" s="37">
        <f>IF(AG151="1",I151,0)</f>
        <v>0</v>
      </c>
      <c r="T151" s="37">
        <f>IF(AG151="7",H151,0)</f>
        <v>0</v>
      </c>
      <c r="U151" s="37">
        <f>IF(AG151="7",I151,0)</f>
        <v>0</v>
      </c>
      <c r="V151" s="37">
        <f>IF(AG151="2",H151,0)</f>
        <v>0</v>
      </c>
      <c r="W151" s="37">
        <f>IF(AG151="2",I151,0)</f>
        <v>0</v>
      </c>
      <c r="X151" s="37">
        <f>IF(AG151="0",J151,0)</f>
        <v>0</v>
      </c>
      <c r="Y151" s="28" t="s">
        <v>71</v>
      </c>
      <c r="Z151" s="18">
        <f>IF(AD151=0,J151,0)</f>
        <v>0</v>
      </c>
      <c r="AA151" s="18">
        <f>IF(AD151=15,J151,0)</f>
        <v>0</v>
      </c>
      <c r="AB151" s="18">
        <f>IF(AD151=21,J151,0)</f>
        <v>0</v>
      </c>
      <c r="AD151" s="37">
        <v>21</v>
      </c>
      <c r="AE151" s="37">
        <f>G151*0.904141155180214</f>
        <v>0</v>
      </c>
      <c r="AF151" s="37">
        <f>G151*(1-0.904141155180214)</f>
        <v>0</v>
      </c>
      <c r="AG151" s="33" t="s">
        <v>7</v>
      </c>
      <c r="AM151" s="37">
        <f>F151*AE151</f>
        <v>0</v>
      </c>
      <c r="AN151" s="37">
        <f>F151*AF151</f>
        <v>0</v>
      </c>
      <c r="AO151" s="38" t="s">
        <v>241</v>
      </c>
      <c r="AP151" s="38" t="s">
        <v>249</v>
      </c>
      <c r="AQ151" s="28" t="s">
        <v>252</v>
      </c>
      <c r="AS151" s="37">
        <f>AM151+AN151</f>
        <v>0</v>
      </c>
      <c r="AT151" s="37">
        <f>G151/(100-AU151)*100</f>
        <v>0</v>
      </c>
      <c r="AU151" s="37">
        <v>0</v>
      </c>
      <c r="AV151" s="37">
        <f>L151</f>
        <v>1.82825E-2</v>
      </c>
    </row>
    <row r="152" spans="1:48">
      <c r="A152" s="59" t="s">
        <v>52</v>
      </c>
      <c r="B152" s="6"/>
      <c r="C152" s="59" t="s">
        <v>122</v>
      </c>
      <c r="D152" s="6" t="s">
        <v>187</v>
      </c>
      <c r="E152" s="6" t="s">
        <v>196</v>
      </c>
      <c r="F152" s="18">
        <f>F145</f>
        <v>93</v>
      </c>
      <c r="G152" s="18">
        <v>0</v>
      </c>
      <c r="H152" s="18">
        <f>F152*AE152</f>
        <v>0</v>
      </c>
      <c r="I152" s="18">
        <f>J152-H152</f>
        <v>0</v>
      </c>
      <c r="J152" s="18">
        <f>F152*G152</f>
        <v>0</v>
      </c>
      <c r="K152" s="18">
        <v>1.5E-3</v>
      </c>
      <c r="L152" s="18">
        <f>F152*K152</f>
        <v>0.13950000000000001</v>
      </c>
      <c r="M152" s="61" t="s">
        <v>303</v>
      </c>
      <c r="P152" s="37">
        <f>IF(AG152="5",J152,0)</f>
        <v>0</v>
      </c>
      <c r="R152" s="37">
        <f>IF(AG152="1",H152,0)</f>
        <v>0</v>
      </c>
      <c r="S152" s="37">
        <f>IF(AG152="1",I152,0)</f>
        <v>0</v>
      </c>
      <c r="T152" s="37">
        <f>IF(AG152="7",H152,0)</f>
        <v>0</v>
      </c>
      <c r="U152" s="37">
        <f>IF(AG152="7",I152,0)</f>
        <v>0</v>
      </c>
      <c r="V152" s="37">
        <f>IF(AG152="2",H152,0)</f>
        <v>0</v>
      </c>
      <c r="W152" s="37">
        <f>IF(AG152="2",I152,0)</f>
        <v>0</v>
      </c>
      <c r="X152" s="37">
        <f>IF(AG152="0",J152,0)</f>
        <v>0</v>
      </c>
      <c r="Y152" s="28" t="s">
        <v>71</v>
      </c>
      <c r="Z152" s="18">
        <f>IF(AD152=0,J152,0)</f>
        <v>0</v>
      </c>
      <c r="AA152" s="18">
        <f>IF(AD152=15,J152,0)</f>
        <v>0</v>
      </c>
      <c r="AB152" s="18">
        <f>IF(AD152=21,J152,0)</f>
        <v>0</v>
      </c>
      <c r="AD152" s="37">
        <v>21</v>
      </c>
      <c r="AE152" s="37">
        <f>G152*0.451472868217054</f>
        <v>0</v>
      </c>
      <c r="AF152" s="37">
        <f>G152*(1-0.451472868217054)</f>
        <v>0</v>
      </c>
      <c r="AG152" s="33" t="s">
        <v>7</v>
      </c>
      <c r="AM152" s="37">
        <f>F152*AE152</f>
        <v>0</v>
      </c>
      <c r="AN152" s="37">
        <f>F152*AF152</f>
        <v>0</v>
      </c>
      <c r="AO152" s="38" t="s">
        <v>240</v>
      </c>
      <c r="AP152" s="38" t="s">
        <v>248</v>
      </c>
      <c r="AQ152" s="28" t="s">
        <v>252</v>
      </c>
      <c r="AS152" s="37">
        <f>AM152+AN152</f>
        <v>0</v>
      </c>
      <c r="AT152" s="37">
        <f>G152/(100-AU152)*100</f>
        <v>0</v>
      </c>
      <c r="AU152" s="37">
        <v>0</v>
      </c>
      <c r="AV152" s="37">
        <f>L152</f>
        <v>0.13950000000000001</v>
      </c>
    </row>
    <row r="153" spans="1:48">
      <c r="A153" s="59" t="s">
        <v>53</v>
      </c>
      <c r="B153" s="6"/>
      <c r="C153" s="59" t="s">
        <v>125</v>
      </c>
      <c r="D153" s="59" t="s">
        <v>190</v>
      </c>
      <c r="E153" s="6" t="s">
        <v>199</v>
      </c>
      <c r="F153" s="18">
        <v>59.8</v>
      </c>
      <c r="G153" s="18">
        <v>0</v>
      </c>
      <c r="H153" s="18">
        <f>F153*AE153</f>
        <v>0</v>
      </c>
      <c r="I153" s="18">
        <f>J153-H153</f>
        <v>0</v>
      </c>
      <c r="J153" s="18">
        <f>F153*G153</f>
        <v>0</v>
      </c>
      <c r="K153" s="18">
        <v>0</v>
      </c>
      <c r="L153" s="18">
        <f>F153*K153</f>
        <v>0</v>
      </c>
      <c r="M153" s="61" t="s">
        <v>303</v>
      </c>
      <c r="P153" s="37">
        <f>IF(AG153="5",J153,0)</f>
        <v>0</v>
      </c>
      <c r="R153" s="37">
        <f>IF(AG153="1",H153,0)</f>
        <v>0</v>
      </c>
      <c r="S153" s="37">
        <f>IF(AG153="1",I153,0)</f>
        <v>0</v>
      </c>
      <c r="T153" s="37">
        <f>IF(AG153="7",H153,0)</f>
        <v>0</v>
      </c>
      <c r="U153" s="37">
        <f>IF(AG153="7",I153,0)</f>
        <v>0</v>
      </c>
      <c r="V153" s="37">
        <f>IF(AG153="2",H153,0)</f>
        <v>0</v>
      </c>
      <c r="W153" s="37">
        <f>IF(AG153="2",I153,0)</f>
        <v>0</v>
      </c>
      <c r="X153" s="37">
        <f>IF(AG153="0",J153,0)</f>
        <v>0</v>
      </c>
      <c r="Y153" s="28" t="s">
        <v>71</v>
      </c>
      <c r="Z153" s="18">
        <f>IF(AD153=0,J153,0)</f>
        <v>0</v>
      </c>
      <c r="AA153" s="18">
        <f>IF(AD153=15,J153,0)</f>
        <v>0</v>
      </c>
      <c r="AB153" s="18">
        <f>IF(AD153=21,J153,0)</f>
        <v>0</v>
      </c>
      <c r="AD153" s="37">
        <v>21</v>
      </c>
      <c r="AE153" s="37">
        <f>G153*0</f>
        <v>0</v>
      </c>
      <c r="AF153" s="37">
        <f>G153*(1-0)</f>
        <v>0</v>
      </c>
      <c r="AG153" s="33" t="s">
        <v>11</v>
      </c>
      <c r="AM153" s="37">
        <f>F153*AE153</f>
        <v>0</v>
      </c>
      <c r="AN153" s="37">
        <f>F153*AF153</f>
        <v>0</v>
      </c>
      <c r="AO153" s="38" t="s">
        <v>241</v>
      </c>
      <c r="AP153" s="38" t="s">
        <v>249</v>
      </c>
      <c r="AQ153" s="28" t="s">
        <v>252</v>
      </c>
      <c r="AS153" s="37">
        <f>AM153+AN153</f>
        <v>0</v>
      </c>
      <c r="AT153" s="37">
        <f>G153/(100-AU153)*100</f>
        <v>0</v>
      </c>
      <c r="AU153" s="37">
        <v>0</v>
      </c>
      <c r="AV153" s="37">
        <f>L153</f>
        <v>0</v>
      </c>
    </row>
    <row r="154" spans="1:48">
      <c r="A154" s="5"/>
      <c r="B154" s="14"/>
      <c r="C154" s="14" t="s">
        <v>107</v>
      </c>
      <c r="D154" s="14" t="s">
        <v>173</v>
      </c>
      <c r="E154" s="5" t="s">
        <v>6</v>
      </c>
      <c r="F154" s="5" t="s">
        <v>6</v>
      </c>
      <c r="G154" s="5" t="s">
        <v>6</v>
      </c>
      <c r="H154" s="40">
        <f>SUM(H155:H165)</f>
        <v>0</v>
      </c>
      <c r="I154" s="40">
        <f>SUM(I155:I165)</f>
        <v>0</v>
      </c>
      <c r="J154" s="40">
        <f>H154+I154</f>
        <v>0</v>
      </c>
      <c r="K154" s="28"/>
      <c r="L154" s="40">
        <f>SUM(L155:L170)</f>
        <v>0</v>
      </c>
      <c r="M154" s="28"/>
      <c r="Y154" s="28" t="s">
        <v>69</v>
      </c>
      <c r="AI154" s="40">
        <f>SUM(Z155:Z170)</f>
        <v>0</v>
      </c>
      <c r="AJ154" s="40">
        <f>SUM(AA155:AA170)</f>
        <v>0</v>
      </c>
      <c r="AK154" s="40">
        <f>SUM(AB155:AB170)</f>
        <v>0</v>
      </c>
    </row>
    <row r="155" spans="1:48">
      <c r="A155" s="59" t="s">
        <v>54</v>
      </c>
      <c r="B155" s="6"/>
      <c r="C155" s="6" t="s">
        <v>108</v>
      </c>
      <c r="D155" s="6" t="s">
        <v>174</v>
      </c>
      <c r="E155" s="6" t="s">
        <v>199</v>
      </c>
      <c r="F155" s="65">
        <f>SUM(F156:F157)*1.9*0.4+F158*0.1*2.4</f>
        <v>25.75</v>
      </c>
      <c r="G155" s="18">
        <v>0</v>
      </c>
      <c r="H155" s="18">
        <f>F155*AE155</f>
        <v>0</v>
      </c>
      <c r="I155" s="18">
        <f>J155-H155</f>
        <v>0</v>
      </c>
      <c r="J155" s="18">
        <f>F155*G155</f>
        <v>0</v>
      </c>
      <c r="K155" s="18">
        <v>0</v>
      </c>
      <c r="L155" s="18">
        <f>F155*K155</f>
        <v>0</v>
      </c>
      <c r="M155" s="33" t="s">
        <v>303</v>
      </c>
      <c r="P155" s="37">
        <f>IF(AG155="5",J155,0)</f>
        <v>0</v>
      </c>
      <c r="R155" s="37">
        <f>IF(AG155="1",H155,0)</f>
        <v>0</v>
      </c>
      <c r="S155" s="37">
        <f>IF(AG155="1",I155,0)</f>
        <v>0</v>
      </c>
      <c r="T155" s="37">
        <f>IF(AG155="7",H155,0)</f>
        <v>0</v>
      </c>
      <c r="U155" s="37">
        <f>IF(AG155="7",I155,0)</f>
        <v>0</v>
      </c>
      <c r="V155" s="37">
        <f>IF(AG155="2",H155,0)</f>
        <v>0</v>
      </c>
      <c r="W155" s="37">
        <f>IF(AG155="2",I155,0)</f>
        <v>0</v>
      </c>
      <c r="X155" s="37">
        <f>IF(AG155="0",J155,0)</f>
        <v>0</v>
      </c>
      <c r="Y155" s="28" t="s">
        <v>69</v>
      </c>
      <c r="Z155" s="18">
        <f>IF(AD155=0,J155,0)</f>
        <v>0</v>
      </c>
      <c r="AA155" s="18">
        <f>IF(AD155=15,J155,0)</f>
        <v>0</v>
      </c>
      <c r="AB155" s="18">
        <f>IF(AD155=21,J155,0)</f>
        <v>0</v>
      </c>
      <c r="AD155" s="37">
        <v>21</v>
      </c>
      <c r="AE155" s="37">
        <f>G155*0</f>
        <v>0</v>
      </c>
      <c r="AF155" s="37">
        <f>G155*(1-0)</f>
        <v>0</v>
      </c>
      <c r="AG155" s="33" t="s">
        <v>11</v>
      </c>
      <c r="AM155" s="37">
        <f>F155*AE155</f>
        <v>0</v>
      </c>
      <c r="AN155" s="37">
        <f>F155*AF155</f>
        <v>0</v>
      </c>
      <c r="AO155" s="38" t="s">
        <v>238</v>
      </c>
      <c r="AP155" s="38" t="s">
        <v>245</v>
      </c>
      <c r="AQ155" s="28" t="s">
        <v>250</v>
      </c>
      <c r="AS155" s="37">
        <f>AM155+AN155</f>
        <v>0</v>
      </c>
      <c r="AT155" s="37">
        <f>G155/(100-AU155)*100</f>
        <v>0</v>
      </c>
      <c r="AU155" s="37">
        <v>0</v>
      </c>
      <c r="AV155" s="37">
        <f>L155</f>
        <v>0</v>
      </c>
    </row>
    <row r="156" spans="1:48">
      <c r="D156" s="58" t="s">
        <v>355</v>
      </c>
      <c r="E156" s="64" t="s">
        <v>197</v>
      </c>
      <c r="F156" s="19">
        <f>F26/0.4</f>
        <v>19.5</v>
      </c>
    </row>
    <row r="157" spans="1:48">
      <c r="D157" s="16"/>
      <c r="E157" s="64" t="s">
        <v>197</v>
      </c>
      <c r="F157" s="19">
        <f>F27/0.4</f>
        <v>6.25</v>
      </c>
    </row>
    <row r="158" spans="1:48">
      <c r="D158" s="58" t="s">
        <v>356</v>
      </c>
      <c r="E158" s="64" t="s">
        <v>197</v>
      </c>
      <c r="F158" s="19">
        <f>F21</f>
        <v>25.75</v>
      </c>
    </row>
    <row r="159" spans="1:48">
      <c r="A159" s="59" t="s">
        <v>55</v>
      </c>
      <c r="B159" s="6"/>
      <c r="C159" s="6" t="s">
        <v>109</v>
      </c>
      <c r="D159" s="6" t="s">
        <v>175</v>
      </c>
      <c r="E159" s="6" t="s">
        <v>199</v>
      </c>
      <c r="F159" s="18">
        <f>F155*14</f>
        <v>360.5</v>
      </c>
      <c r="G159" s="18">
        <v>0</v>
      </c>
      <c r="H159" s="18">
        <f>F159*AE159</f>
        <v>0</v>
      </c>
      <c r="I159" s="18">
        <f>J159-H159</f>
        <v>0</v>
      </c>
      <c r="J159" s="18">
        <f>F159*G159</f>
        <v>0</v>
      </c>
      <c r="K159" s="18">
        <v>0</v>
      </c>
      <c r="L159" s="18">
        <f>F159*K159</f>
        <v>0</v>
      </c>
      <c r="M159" s="33" t="s">
        <v>303</v>
      </c>
      <c r="P159" s="37">
        <f>IF(AG159="5",J159,0)</f>
        <v>0</v>
      </c>
      <c r="R159" s="37">
        <f>IF(AG159="1",H159,0)</f>
        <v>0</v>
      </c>
      <c r="S159" s="37">
        <f>IF(AG159="1",I159,0)</f>
        <v>0</v>
      </c>
      <c r="T159" s="37">
        <f>IF(AG159="7",H159,0)</f>
        <v>0</v>
      </c>
      <c r="U159" s="37">
        <f>IF(AG159="7",I159,0)</f>
        <v>0</v>
      </c>
      <c r="V159" s="37">
        <f>IF(AG159="2",H159,0)</f>
        <v>0</v>
      </c>
      <c r="W159" s="37">
        <f>IF(AG159="2",I159,0)</f>
        <v>0</v>
      </c>
      <c r="X159" s="37">
        <f>IF(AG159="0",J159,0)</f>
        <v>0</v>
      </c>
      <c r="Y159" s="28" t="s">
        <v>69</v>
      </c>
      <c r="Z159" s="18">
        <f>IF(AD159=0,J159,0)</f>
        <v>0</v>
      </c>
      <c r="AA159" s="18">
        <f>IF(AD159=15,J159,0)</f>
        <v>0</v>
      </c>
      <c r="AB159" s="18">
        <f>IF(AD159=21,J159,0)</f>
        <v>0</v>
      </c>
      <c r="AD159" s="37">
        <v>21</v>
      </c>
      <c r="AE159" s="37">
        <f>G159*0</f>
        <v>0</v>
      </c>
      <c r="AF159" s="37">
        <f>G159*(1-0)</f>
        <v>0</v>
      </c>
      <c r="AG159" s="33" t="s">
        <v>11</v>
      </c>
      <c r="AM159" s="37">
        <f>F159*AE159</f>
        <v>0</v>
      </c>
      <c r="AN159" s="37">
        <f>F159*AF159</f>
        <v>0</v>
      </c>
      <c r="AO159" s="38" t="s">
        <v>238</v>
      </c>
      <c r="AP159" s="38" t="s">
        <v>245</v>
      </c>
      <c r="AQ159" s="28" t="s">
        <v>250</v>
      </c>
      <c r="AS159" s="37">
        <f>AM159+AN159</f>
        <v>0</v>
      </c>
      <c r="AT159" s="37">
        <f>G159/(100-AU159)*100</f>
        <v>0</v>
      </c>
      <c r="AU159" s="37">
        <v>0</v>
      </c>
      <c r="AV159" s="37">
        <f>L159</f>
        <v>0</v>
      </c>
    </row>
    <row r="160" spans="1:48">
      <c r="D160" s="16"/>
      <c r="F160" s="19"/>
    </row>
    <row r="161" spans="1:48">
      <c r="A161" s="59" t="s">
        <v>56</v>
      </c>
      <c r="B161" s="6"/>
      <c r="C161" s="6" t="s">
        <v>110</v>
      </c>
      <c r="D161" s="6" t="s">
        <v>176</v>
      </c>
      <c r="E161" s="6" t="s">
        <v>199</v>
      </c>
      <c r="F161" s="18">
        <f>F155</f>
        <v>25.75</v>
      </c>
      <c r="G161" s="18">
        <v>0</v>
      </c>
      <c r="H161" s="18">
        <f>F161*AE161</f>
        <v>0</v>
      </c>
      <c r="I161" s="18">
        <f>J161-H161</f>
        <v>0</v>
      </c>
      <c r="J161" s="18">
        <f>F161*G161</f>
        <v>0</v>
      </c>
      <c r="K161" s="18">
        <v>0</v>
      </c>
      <c r="L161" s="18">
        <f>F161*K161</f>
        <v>0</v>
      </c>
      <c r="M161" s="33" t="s">
        <v>303</v>
      </c>
      <c r="P161" s="37">
        <f>IF(AG161="5",J161,0)</f>
        <v>0</v>
      </c>
      <c r="R161" s="37">
        <f>IF(AG161="1",H161,0)</f>
        <v>0</v>
      </c>
      <c r="S161" s="37">
        <f>IF(AG161="1",I161,0)</f>
        <v>0</v>
      </c>
      <c r="T161" s="37">
        <f>IF(AG161="7",H161,0)</f>
        <v>0</v>
      </c>
      <c r="U161" s="37">
        <f>IF(AG161="7",I161,0)</f>
        <v>0</v>
      </c>
      <c r="V161" s="37">
        <f>IF(AG161="2",H161,0)</f>
        <v>0</v>
      </c>
      <c r="W161" s="37">
        <f>IF(AG161="2",I161,0)</f>
        <v>0</v>
      </c>
      <c r="X161" s="37">
        <f>IF(AG161="0",J161,0)</f>
        <v>0</v>
      </c>
      <c r="Y161" s="28" t="s">
        <v>69</v>
      </c>
      <c r="Z161" s="18">
        <f>IF(AD161=0,J161,0)</f>
        <v>0</v>
      </c>
      <c r="AA161" s="18">
        <f>IF(AD161=15,J161,0)</f>
        <v>0</v>
      </c>
      <c r="AB161" s="18">
        <f>IF(AD161=21,J161,0)</f>
        <v>0</v>
      </c>
      <c r="AD161" s="37">
        <v>21</v>
      </c>
      <c r="AE161" s="37">
        <f>G161*0</f>
        <v>0</v>
      </c>
      <c r="AF161" s="37">
        <f>G161*(1-0)</f>
        <v>0</v>
      </c>
      <c r="AG161" s="33" t="s">
        <v>11</v>
      </c>
      <c r="AM161" s="37">
        <f>F161*AE161</f>
        <v>0</v>
      </c>
      <c r="AN161" s="37">
        <f>F161*AF161</f>
        <v>0</v>
      </c>
      <c r="AO161" s="38" t="s">
        <v>238</v>
      </c>
      <c r="AP161" s="38" t="s">
        <v>245</v>
      </c>
      <c r="AQ161" s="28" t="s">
        <v>250</v>
      </c>
      <c r="AS161" s="37">
        <f>AM161+AN161</f>
        <v>0</v>
      </c>
      <c r="AT161" s="37">
        <f>G161/(100-AU161)*100</f>
        <v>0</v>
      </c>
      <c r="AU161" s="37">
        <v>0</v>
      </c>
      <c r="AV161" s="37">
        <f>L161</f>
        <v>0</v>
      </c>
    </row>
    <row r="162" spans="1:48">
      <c r="D162" s="16"/>
      <c r="F162" s="19"/>
    </row>
    <row r="163" spans="1:48">
      <c r="A163" s="59" t="s">
        <v>57</v>
      </c>
      <c r="B163" s="6"/>
      <c r="C163" s="6" t="s">
        <v>111</v>
      </c>
      <c r="D163" s="6" t="s">
        <v>178</v>
      </c>
      <c r="E163" s="6" t="s">
        <v>199</v>
      </c>
      <c r="F163" s="18">
        <f>F155</f>
        <v>25.75</v>
      </c>
      <c r="G163" s="18">
        <v>0</v>
      </c>
      <c r="H163" s="18">
        <f>F163*AE163</f>
        <v>0</v>
      </c>
      <c r="I163" s="18">
        <f>J163-H163</f>
        <v>0</v>
      </c>
      <c r="J163" s="18">
        <f>F163*G163</f>
        <v>0</v>
      </c>
      <c r="K163" s="18">
        <v>0</v>
      </c>
      <c r="L163" s="18">
        <f>F163*K163</f>
        <v>0</v>
      </c>
      <c r="M163" s="33" t="s">
        <v>303</v>
      </c>
      <c r="P163" s="37">
        <f>IF(AG163="5",J163,0)</f>
        <v>0</v>
      </c>
      <c r="R163" s="37">
        <f>IF(AG163="1",H163,0)</f>
        <v>0</v>
      </c>
      <c r="S163" s="37">
        <f>IF(AG163="1",I163,0)</f>
        <v>0</v>
      </c>
      <c r="T163" s="37">
        <f>IF(AG163="7",H163,0)</f>
        <v>0</v>
      </c>
      <c r="U163" s="37">
        <f>IF(AG163="7",I163,0)</f>
        <v>0</v>
      </c>
      <c r="V163" s="37">
        <f>IF(AG163="2",H163,0)</f>
        <v>0</v>
      </c>
      <c r="W163" s="37">
        <f>IF(AG163="2",I163,0)</f>
        <v>0</v>
      </c>
      <c r="X163" s="37">
        <f>IF(AG163="0",J163,0)</f>
        <v>0</v>
      </c>
      <c r="Y163" s="28" t="s">
        <v>69</v>
      </c>
      <c r="Z163" s="18">
        <f>IF(AD163=0,J163,0)</f>
        <v>0</v>
      </c>
      <c r="AA163" s="18">
        <f>IF(AD163=15,J163,0)</f>
        <v>0</v>
      </c>
      <c r="AB163" s="18">
        <f>IF(AD163=21,J163,0)</f>
        <v>0</v>
      </c>
      <c r="AD163" s="37">
        <v>21</v>
      </c>
      <c r="AE163" s="37">
        <f>G163*0</f>
        <v>0</v>
      </c>
      <c r="AF163" s="37">
        <f>G163*(1-0)</f>
        <v>0</v>
      </c>
      <c r="AG163" s="33" t="s">
        <v>11</v>
      </c>
      <c r="AM163" s="37">
        <f>F163*AE163</f>
        <v>0</v>
      </c>
      <c r="AN163" s="37">
        <f>F163*AF163</f>
        <v>0</v>
      </c>
      <c r="AO163" s="38" t="s">
        <v>238</v>
      </c>
      <c r="AP163" s="38" t="s">
        <v>245</v>
      </c>
      <c r="AQ163" s="28" t="s">
        <v>250</v>
      </c>
      <c r="AS163" s="37">
        <f>AM163+AN163</f>
        <v>0</v>
      </c>
      <c r="AT163" s="37">
        <f>G163/(100-AU163)*100</f>
        <v>0</v>
      </c>
      <c r="AU163" s="37">
        <v>0</v>
      </c>
      <c r="AV163" s="37">
        <f>L163</f>
        <v>0</v>
      </c>
    </row>
    <row r="164" spans="1:48">
      <c r="D164" s="16" t="s">
        <v>177</v>
      </c>
      <c r="F164" s="19"/>
    </row>
    <row r="165" spans="1:48">
      <c r="A165" s="66" t="s">
        <v>58</v>
      </c>
      <c r="B165" s="8"/>
      <c r="C165" s="8" t="s">
        <v>112</v>
      </c>
      <c r="D165" s="8" t="s">
        <v>179</v>
      </c>
      <c r="E165" s="8" t="s">
        <v>199</v>
      </c>
      <c r="F165" s="21">
        <v>38.97</v>
      </c>
      <c r="G165" s="21">
        <v>0</v>
      </c>
      <c r="H165" s="21">
        <f>F165*AE165</f>
        <v>0</v>
      </c>
      <c r="I165" s="21">
        <f>J165-H165</f>
        <v>0</v>
      </c>
      <c r="J165" s="21">
        <f>F165*G165</f>
        <v>0</v>
      </c>
      <c r="K165" s="21">
        <v>0</v>
      </c>
      <c r="L165" s="21">
        <f>F165*K165</f>
        <v>0</v>
      </c>
      <c r="M165" s="35" t="s">
        <v>303</v>
      </c>
      <c r="P165" s="37">
        <f>IF(AG165="5",J165,0)</f>
        <v>0</v>
      </c>
      <c r="R165" s="37">
        <f>IF(AG165="1",H165,0)</f>
        <v>0</v>
      </c>
      <c r="S165" s="37">
        <f>IF(AG165="1",I165,0)</f>
        <v>0</v>
      </c>
      <c r="T165" s="37">
        <f>IF(AG165="7",H165,0)</f>
        <v>0</v>
      </c>
      <c r="U165" s="37">
        <f>IF(AG165="7",I165,0)</f>
        <v>0</v>
      </c>
      <c r="V165" s="37">
        <f>IF(AG165="2",H165,0)</f>
        <v>0</v>
      </c>
      <c r="W165" s="37">
        <f>IF(AG165="2",I165,0)</f>
        <v>0</v>
      </c>
      <c r="X165" s="37">
        <f>IF(AG165="0",J165,0)</f>
        <v>0</v>
      </c>
      <c r="Y165" s="28" t="s">
        <v>69</v>
      </c>
      <c r="Z165" s="18">
        <f>IF(AD165=0,J165,0)</f>
        <v>0</v>
      </c>
      <c r="AA165" s="18">
        <f>IF(AD165=15,J165,0)</f>
        <v>0</v>
      </c>
      <c r="AB165" s="18">
        <f>IF(AD165=21,J165,0)</f>
        <v>0</v>
      </c>
      <c r="AD165" s="37">
        <v>21</v>
      </c>
      <c r="AE165" s="37">
        <f>G165*0</f>
        <v>0</v>
      </c>
      <c r="AF165" s="37">
        <f>G165*(1-0)</f>
        <v>0</v>
      </c>
      <c r="AG165" s="33" t="s">
        <v>11</v>
      </c>
      <c r="AM165" s="37">
        <f>F165*AE165</f>
        <v>0</v>
      </c>
      <c r="AN165" s="37">
        <f>F165*AF165</f>
        <v>0</v>
      </c>
      <c r="AO165" s="38" t="s">
        <v>238</v>
      </c>
      <c r="AP165" s="38" t="s">
        <v>245</v>
      </c>
      <c r="AQ165" s="28" t="s">
        <v>250</v>
      </c>
      <c r="AS165" s="37">
        <f>AM165+AN165</f>
        <v>0</v>
      </c>
      <c r="AT165" s="37">
        <f>G165/(100-AU165)*100</f>
        <v>0</v>
      </c>
      <c r="AU165" s="37">
        <v>0</v>
      </c>
      <c r="AV165" s="37">
        <f>L165</f>
        <v>0</v>
      </c>
    </row>
    <row r="166" spans="1:48">
      <c r="A166" s="5"/>
      <c r="B166" s="14"/>
      <c r="C166" s="14"/>
      <c r="D166" s="67" t="s">
        <v>362</v>
      </c>
      <c r="E166" s="5"/>
      <c r="F166" s="5"/>
      <c r="G166" s="5"/>
      <c r="H166" s="40">
        <f>SUM(H167:H170)</f>
        <v>0</v>
      </c>
      <c r="I166" s="40">
        <f>SUM(I167:I170)</f>
        <v>0</v>
      </c>
      <c r="J166" s="40">
        <f>H166+I166</f>
        <v>0</v>
      </c>
      <c r="K166" s="28"/>
      <c r="L166" s="40"/>
      <c r="M166" s="28"/>
      <c r="Y166" s="28"/>
      <c r="AI166" s="40"/>
      <c r="AJ166" s="40"/>
      <c r="AK166" s="40"/>
    </row>
    <row r="167" spans="1:48">
      <c r="A167" s="59" t="s">
        <v>59</v>
      </c>
      <c r="B167" s="6"/>
      <c r="C167" s="6"/>
      <c r="D167" s="59" t="s">
        <v>363</v>
      </c>
      <c r="E167" s="59" t="s">
        <v>364</v>
      </c>
      <c r="F167" s="18">
        <v>1</v>
      </c>
      <c r="G167" s="18">
        <v>0</v>
      </c>
      <c r="H167" s="18">
        <f>F167*AE167</f>
        <v>0</v>
      </c>
      <c r="I167" s="18">
        <f>J167-H167</f>
        <v>0</v>
      </c>
      <c r="J167" s="18">
        <f>F167*G167</f>
        <v>0</v>
      </c>
      <c r="K167" s="18">
        <v>0</v>
      </c>
      <c r="L167" s="18">
        <f>F167*K167</f>
        <v>0</v>
      </c>
      <c r="M167" s="33" t="s">
        <v>303</v>
      </c>
      <c r="P167" s="37"/>
      <c r="R167" s="37"/>
      <c r="S167" s="37"/>
      <c r="T167" s="37"/>
      <c r="U167" s="37"/>
      <c r="V167" s="37"/>
      <c r="W167" s="37"/>
      <c r="X167" s="37"/>
      <c r="Y167" s="28"/>
      <c r="Z167" s="18"/>
      <c r="AA167" s="18"/>
      <c r="AB167" s="18"/>
      <c r="AD167" s="37"/>
      <c r="AE167" s="37"/>
      <c r="AF167" s="37"/>
      <c r="AG167" s="33"/>
      <c r="AM167" s="37"/>
      <c r="AN167" s="37"/>
      <c r="AO167" s="38"/>
      <c r="AP167" s="38"/>
      <c r="AQ167" s="28"/>
      <c r="AS167" s="37"/>
      <c r="AT167" s="37"/>
      <c r="AU167" s="37"/>
      <c r="AV167" s="37"/>
    </row>
    <row r="168" spans="1:48">
      <c r="A168" s="59" t="s">
        <v>60</v>
      </c>
      <c r="B168" s="6"/>
      <c r="C168" s="6"/>
      <c r="D168" s="59" t="s">
        <v>365</v>
      </c>
      <c r="E168" s="59" t="s">
        <v>364</v>
      </c>
      <c r="F168" s="18">
        <v>1</v>
      </c>
      <c r="G168" s="18">
        <v>0</v>
      </c>
      <c r="H168" s="18">
        <f>F168*AE168</f>
        <v>0</v>
      </c>
      <c r="I168" s="18">
        <f>J168-H168</f>
        <v>0</v>
      </c>
      <c r="J168" s="18">
        <f>F168*G168</f>
        <v>0</v>
      </c>
      <c r="K168" s="18">
        <v>0</v>
      </c>
      <c r="L168" s="18">
        <f>F168*K168</f>
        <v>0</v>
      </c>
      <c r="M168" s="33" t="s">
        <v>303</v>
      </c>
      <c r="P168" s="37"/>
      <c r="R168" s="37"/>
      <c r="S168" s="37"/>
      <c r="T168" s="37"/>
      <c r="U168" s="37"/>
      <c r="V168" s="37"/>
      <c r="W168" s="37"/>
      <c r="X168" s="37"/>
      <c r="Y168" s="28"/>
      <c r="Z168" s="18"/>
      <c r="AA168" s="18"/>
      <c r="AB168" s="18"/>
      <c r="AD168" s="37"/>
      <c r="AE168" s="37"/>
      <c r="AF168" s="37"/>
      <c r="AG168" s="33"/>
      <c r="AM168" s="37"/>
      <c r="AN168" s="37"/>
      <c r="AO168" s="38"/>
      <c r="AP168" s="38"/>
      <c r="AQ168" s="28"/>
      <c r="AS168" s="37"/>
      <c r="AT168" s="37"/>
      <c r="AU168" s="37"/>
      <c r="AV168" s="37"/>
    </row>
    <row r="169" spans="1:48">
      <c r="A169" s="59" t="s">
        <v>61</v>
      </c>
      <c r="B169" s="6"/>
      <c r="C169" s="59" t="s">
        <v>366</v>
      </c>
      <c r="D169" s="59" t="s">
        <v>367</v>
      </c>
      <c r="E169" s="59" t="s">
        <v>196</v>
      </c>
      <c r="F169" s="18">
        <v>244</v>
      </c>
      <c r="G169" s="18">
        <v>0</v>
      </c>
      <c r="H169" s="18">
        <f>F169*AE169</f>
        <v>0</v>
      </c>
      <c r="I169" s="18">
        <f>J169-H169</f>
        <v>0</v>
      </c>
      <c r="J169" s="18">
        <f>F169*G169</f>
        <v>0</v>
      </c>
      <c r="K169" s="18">
        <v>0</v>
      </c>
      <c r="L169" s="18">
        <f>F169*K169</f>
        <v>0</v>
      </c>
      <c r="M169" s="33" t="s">
        <v>303</v>
      </c>
      <c r="P169" s="37"/>
      <c r="R169" s="37"/>
      <c r="S169" s="37"/>
      <c r="T169" s="37"/>
      <c r="U169" s="37"/>
      <c r="V169" s="37"/>
      <c r="W169" s="37"/>
      <c r="X169" s="37"/>
      <c r="Y169" s="28"/>
      <c r="Z169" s="18"/>
      <c r="AA169" s="18"/>
      <c r="AB169" s="18"/>
      <c r="AD169" s="37"/>
      <c r="AE169" s="37"/>
      <c r="AF169" s="37"/>
      <c r="AG169" s="33"/>
      <c r="AM169" s="37"/>
      <c r="AN169" s="37"/>
      <c r="AO169" s="38"/>
      <c r="AP169" s="38"/>
      <c r="AQ169" s="28"/>
      <c r="AS169" s="37"/>
      <c r="AT169" s="37"/>
      <c r="AU169" s="37"/>
      <c r="AV169" s="37"/>
    </row>
    <row r="170" spans="1:48">
      <c r="A170" s="66" t="s">
        <v>62</v>
      </c>
      <c r="B170" s="8"/>
      <c r="C170" s="66" t="s">
        <v>368</v>
      </c>
      <c r="D170" s="66" t="s">
        <v>369</v>
      </c>
      <c r="E170" s="66" t="s">
        <v>196</v>
      </c>
      <c r="F170" s="21">
        <v>244</v>
      </c>
      <c r="G170" s="21">
        <v>0</v>
      </c>
      <c r="H170" s="21">
        <f>F170*AE170</f>
        <v>0</v>
      </c>
      <c r="I170" s="21">
        <f>J170-H170</f>
        <v>0</v>
      </c>
      <c r="J170" s="21">
        <f>F170*G170</f>
        <v>0</v>
      </c>
      <c r="K170" s="21">
        <v>0</v>
      </c>
      <c r="L170" s="21">
        <f>F170*K170</f>
        <v>0</v>
      </c>
      <c r="M170" s="35" t="s">
        <v>303</v>
      </c>
      <c r="P170" s="37">
        <f>IF(AG170="5",J170,0)</f>
        <v>0</v>
      </c>
      <c r="R170" s="37">
        <f>IF(AG170="1",H170,0)</f>
        <v>0</v>
      </c>
      <c r="S170" s="37">
        <f>IF(AG170="1",I170,0)</f>
        <v>0</v>
      </c>
      <c r="T170" s="37">
        <f>IF(AG170="7",H170,0)</f>
        <v>0</v>
      </c>
      <c r="U170" s="37">
        <f>IF(AG170="7",I170,0)</f>
        <v>0</v>
      </c>
      <c r="V170" s="37">
        <f>IF(AG170="2",H170,0)</f>
        <v>0</v>
      </c>
      <c r="W170" s="37">
        <f>IF(AG170="2",I170,0)</f>
        <v>0</v>
      </c>
      <c r="X170" s="37">
        <f>IF(AG170="0",J170,0)</f>
        <v>0</v>
      </c>
      <c r="Y170" s="28" t="s">
        <v>69</v>
      </c>
      <c r="Z170" s="18">
        <f>IF(AD170=0,J170,0)</f>
        <v>0</v>
      </c>
      <c r="AA170" s="18">
        <f>IF(AD170=15,J170,0)</f>
        <v>0</v>
      </c>
      <c r="AB170" s="18">
        <f>IF(AD170=21,J170,0)</f>
        <v>0</v>
      </c>
      <c r="AD170" s="37">
        <v>21</v>
      </c>
      <c r="AE170" s="37">
        <f>G170*0</f>
        <v>0</v>
      </c>
      <c r="AF170" s="37">
        <f>G170*(1-0)</f>
        <v>0</v>
      </c>
      <c r="AG170" s="33" t="s">
        <v>11</v>
      </c>
      <c r="AM170" s="37">
        <f>F170*AE170</f>
        <v>0</v>
      </c>
      <c r="AN170" s="37">
        <f>F170*AF170</f>
        <v>0</v>
      </c>
      <c r="AO170" s="38" t="s">
        <v>238</v>
      </c>
      <c r="AP170" s="38" t="s">
        <v>245</v>
      </c>
      <c r="AQ170" s="28" t="s">
        <v>250</v>
      </c>
      <c r="AS170" s="37">
        <f>AM170+AN170</f>
        <v>0</v>
      </c>
      <c r="AT170" s="37">
        <f>G170/(100-AU170)*100</f>
        <v>0</v>
      </c>
      <c r="AU170" s="37">
        <v>0</v>
      </c>
      <c r="AV170" s="37">
        <f>L170</f>
        <v>0</v>
      </c>
    </row>
    <row r="171" spans="1:48">
      <c r="A171" s="9"/>
      <c r="B171" s="9"/>
      <c r="C171" s="9"/>
      <c r="D171" s="9"/>
      <c r="E171" s="9"/>
      <c r="F171" s="9"/>
      <c r="G171" s="9"/>
      <c r="H171" s="111" t="s">
        <v>207</v>
      </c>
      <c r="I171" s="104"/>
      <c r="J171" s="41">
        <f>J154+J144+J139+J76+J62+J51+J44+J37+J28+J24+J20+J13+J166</f>
        <v>0</v>
      </c>
      <c r="K171" s="9"/>
      <c r="L171" s="9"/>
      <c r="M171" s="9"/>
    </row>
    <row r="172" spans="1:48" ht="11.25" customHeight="1">
      <c r="A172" s="10" t="s">
        <v>66</v>
      </c>
    </row>
    <row r="173" spans="1:48" ht="51.4" customHeight="1">
      <c r="A173" s="71" t="s">
        <v>67</v>
      </c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</row>
  </sheetData>
  <mergeCells count="29">
    <mergeCell ref="A1:M1"/>
    <mergeCell ref="A2:C3"/>
    <mergeCell ref="D2:D3"/>
    <mergeCell ref="E2:F3"/>
    <mergeCell ref="G2:H3"/>
    <mergeCell ref="I2:I3"/>
    <mergeCell ref="J2:M3"/>
    <mergeCell ref="J4:M5"/>
    <mergeCell ref="A6:C7"/>
    <mergeCell ref="D6:D7"/>
    <mergeCell ref="E6:F7"/>
    <mergeCell ref="G6:H7"/>
    <mergeCell ref="I6:I7"/>
    <mergeCell ref="J6:M7"/>
    <mergeCell ref="A4:C5"/>
    <mergeCell ref="D4:D5"/>
    <mergeCell ref="E4:F5"/>
    <mergeCell ref="G4:H5"/>
    <mergeCell ref="I4:I5"/>
    <mergeCell ref="H10:J10"/>
    <mergeCell ref="K10:L10"/>
    <mergeCell ref="H171:I171"/>
    <mergeCell ref="A173:M173"/>
    <mergeCell ref="A8:C9"/>
    <mergeCell ref="D8:D9"/>
    <mergeCell ref="E8:F9"/>
    <mergeCell ref="G8:H9"/>
    <mergeCell ref="I8:I9"/>
    <mergeCell ref="J8:M9"/>
  </mergeCells>
  <pageMargins left="0.70866141732283472" right="0.70866141732283472" top="0.78740157480314965" bottom="0.78740157480314965" header="0.31496062992125984" footer="0.31496062992125984"/>
  <pageSetup paperSize="9" scale="61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 celkový</vt:lpstr>
      <vt:lpstr>SO 001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2021-01-13T12:43:09Z</cp:lastPrinted>
  <dcterms:created xsi:type="dcterms:W3CDTF">2017-12-07T06:38:46Z</dcterms:created>
  <dcterms:modified xsi:type="dcterms:W3CDTF">2021-03-08T14:24:40Z</dcterms:modified>
</cp:coreProperties>
</file>